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320" windowHeight="7545" activeTab="0"/>
  </bookViews>
  <sheets>
    <sheet name="一般会計" sheetId="1" r:id="rId1"/>
    <sheet name="食料安定特会（基盤強化）" sheetId="2" r:id="rId2"/>
    <sheet name="食料安定特会（経営安定）" sheetId="3" r:id="rId3"/>
    <sheet name="復興特会" sheetId="4" r:id="rId4"/>
  </sheets>
  <definedNames>
    <definedName name="_xlnm._FilterDatabase" localSheetId="0" hidden="1">'一般会計'!$A$7:$O$472</definedName>
    <definedName name="_xlnm.Print_Area" localSheetId="0">'一般会計'!$B$1:$M$471</definedName>
    <definedName name="_xlnm.Print_Area" localSheetId="1">'食料安定特会（基盤強化）'!$A$1:$L$24</definedName>
    <definedName name="_xlnm.Print_Area" localSheetId="2">'食料安定特会（経営安定）'!$A$1:$L$16</definedName>
    <definedName name="_xlnm.Print_Area" localSheetId="3">'復興特会'!$A$1:$L$26</definedName>
    <definedName name="_xlnm.Print_Titles" localSheetId="0">'一般会計'!$8:$9</definedName>
  </definedNames>
  <calcPr fullCalcOnLoad="1"/>
</workbook>
</file>

<file path=xl/sharedStrings.xml><?xml version="1.0" encoding="utf-8"?>
<sst xmlns="http://schemas.openxmlformats.org/spreadsheetml/2006/main" count="1275" uniqueCount="602">
  <si>
    <t>会計名：</t>
  </si>
  <si>
    <t>一般会計</t>
  </si>
  <si>
    <t>部局庁名：</t>
  </si>
  <si>
    <t>単位：円</t>
  </si>
  <si>
    <t>組　織</t>
  </si>
  <si>
    <t>項</t>
  </si>
  <si>
    <t>目</t>
  </si>
  <si>
    <t>目　細</t>
  </si>
  <si>
    <t>事　業　名</t>
  </si>
  <si>
    <t>補助金交付決定等に係る支出負担行為ないし意思決定の日</t>
  </si>
  <si>
    <t>交付決定額</t>
  </si>
  <si>
    <t>補助金交付先名</t>
  </si>
  <si>
    <t>公益法人の場合</t>
  </si>
  <si>
    <t>備　　　　　　　　　考</t>
  </si>
  <si>
    <t>国所管、都道府県所管の区分</t>
  </si>
  <si>
    <t>農林水産本省</t>
  </si>
  <si>
    <t>前年度からの繰越</t>
  </si>
  <si>
    <t>公益法人の区分（※）</t>
  </si>
  <si>
    <t>平成25年度</t>
  </si>
  <si>
    <t>東海農政局</t>
  </si>
  <si>
    <t>食料安定供給特別会計（農業経営基盤強化勘定）</t>
  </si>
  <si>
    <t>食料安定供給特別会計（農業経営安定勘定）</t>
  </si>
  <si>
    <t>東日本大震災復興特別会計</t>
  </si>
  <si>
    <t>地域再生推進費</t>
  </si>
  <si>
    <t>地域再生基盤強化交付金</t>
  </si>
  <si>
    <t>道整備交付金</t>
  </si>
  <si>
    <t>岐阜県</t>
  </si>
  <si>
    <t>前年度からの繰越分</t>
  </si>
  <si>
    <t>農林水産業復興政策費</t>
  </si>
  <si>
    <t>耕作放棄地再生利用緊急対策交付金</t>
  </si>
  <si>
    <t>被災者営農継続支援耕作放棄地活用事業</t>
  </si>
  <si>
    <t>三重県農業再生協議会</t>
  </si>
  <si>
    <t>岐阜県農業再生協議会</t>
  </si>
  <si>
    <t>農地等保全事業費</t>
  </si>
  <si>
    <t>地すべり対策事業費補助</t>
  </si>
  <si>
    <t>地すべり対策事業費補助</t>
  </si>
  <si>
    <t>地すべり対策事業</t>
  </si>
  <si>
    <t>三重県</t>
  </si>
  <si>
    <t>震災対策農業水利施設整備事業費補助</t>
  </si>
  <si>
    <t>震災対策農業水利施設整備事業</t>
  </si>
  <si>
    <t xml:space="preserve"> </t>
  </si>
  <si>
    <t>農業生産基盤保全管理・整備事業費</t>
  </si>
  <si>
    <t>諸土地改良事業費補助</t>
  </si>
  <si>
    <t>土地改良融資事業等指導監督費補助</t>
  </si>
  <si>
    <t>土地改良施設維持管理適正化事業費補助</t>
  </si>
  <si>
    <t>農業生産基盤保全管理等推進費</t>
  </si>
  <si>
    <t>農業生産基盤保全管理等推進整備費補助金</t>
  </si>
  <si>
    <t>農業体質強化基盤整備促進事業</t>
  </si>
  <si>
    <t>前年度からの繰越分</t>
  </si>
  <si>
    <t>愛知県</t>
  </si>
  <si>
    <t>四日市市</t>
  </si>
  <si>
    <t>伊勢市</t>
  </si>
  <si>
    <t>玉城町</t>
  </si>
  <si>
    <t>田原市低炭素施設園芸づくり協議会</t>
  </si>
  <si>
    <t>東栄町</t>
  </si>
  <si>
    <t>農村地域資源等保全推進費</t>
  </si>
  <si>
    <t>中山間地域等直接支払交付金</t>
  </si>
  <si>
    <t>農地・水保全管理支払交付金</t>
  </si>
  <si>
    <t>岐阜県農地・水・環境保全推進協議会（岐阜県）</t>
  </si>
  <si>
    <t>尾張農地・水・環境保全地域協議会（愛知県）</t>
  </si>
  <si>
    <t>一宮農地・水・環境保全地域協議会（愛知県）</t>
  </si>
  <si>
    <t>海部地域協議会（愛知県）</t>
  </si>
  <si>
    <t>農地・水・環境保全知多地域協議会（愛知県）</t>
  </si>
  <si>
    <t>西三河農地・水・環境保全地域協議会（愛知県）</t>
  </si>
  <si>
    <t>西尾幡豆農地・水・環境保全地域協議会（愛知県）</t>
  </si>
  <si>
    <t>豊田加茂農地・水・環境保全地域協議会（愛知県）</t>
  </si>
  <si>
    <t>東三河農地・水・環境保全地域協議会（愛知県）</t>
  </si>
  <si>
    <t>三重県農地・水・環境保全向上対策協議会（三重県）</t>
  </si>
  <si>
    <t>豊田加茂農地・水・環境保全地域協議会（愛知県）管内の活動組織10組織</t>
  </si>
  <si>
    <t>地すべり対策事業費補助</t>
  </si>
  <si>
    <t>農業競争力強化基盤整備事業費</t>
  </si>
  <si>
    <t>農業競争力強化基盤整備事業費補助</t>
  </si>
  <si>
    <t>農業競争力強化基盤整備事業</t>
  </si>
  <si>
    <t>農業基盤整備促進事業</t>
  </si>
  <si>
    <t>いなべ市</t>
  </si>
  <si>
    <t>菰野町</t>
  </si>
  <si>
    <t>鈴鹿市</t>
  </si>
  <si>
    <t>亀山市</t>
  </si>
  <si>
    <t>津市</t>
  </si>
  <si>
    <t>多気町</t>
  </si>
  <si>
    <t>大台町</t>
  </si>
  <si>
    <t>大紀町</t>
  </si>
  <si>
    <t>鳥羽市</t>
  </si>
  <si>
    <t>伊賀市</t>
  </si>
  <si>
    <t>御浜町</t>
  </si>
  <si>
    <t>中勢用水土地改良区</t>
  </si>
  <si>
    <t>櫛田川祓川沿岸土地改良区</t>
  </si>
  <si>
    <t>宮川用水土地改良区</t>
  </si>
  <si>
    <t>清須市</t>
  </si>
  <si>
    <t>犬山市</t>
  </si>
  <si>
    <t>稲沢市</t>
  </si>
  <si>
    <t>岩倉市</t>
  </si>
  <si>
    <t>津島市</t>
  </si>
  <si>
    <t>愛西市</t>
  </si>
  <si>
    <t>美浜町</t>
  </si>
  <si>
    <t>安城市</t>
  </si>
  <si>
    <t>設楽町</t>
  </si>
  <si>
    <t>豊川市</t>
  </si>
  <si>
    <t>稲沢市土地改良区</t>
  </si>
  <si>
    <t>平和土地改良区</t>
  </si>
  <si>
    <t>領内川用悪水土地改良区</t>
  </si>
  <si>
    <t>十三沖永悪水土地改良区</t>
  </si>
  <si>
    <t>蟹江大澪悪水土地改良区</t>
  </si>
  <si>
    <t>五八悪水土地改良区</t>
  </si>
  <si>
    <t>宝南悪水土地改良区</t>
  </si>
  <si>
    <t>日光川西悪水土地改良区</t>
  </si>
  <si>
    <t>佐屋町土地改良区</t>
  </si>
  <si>
    <t>佐織土地改良区</t>
  </si>
  <si>
    <t>立田村土地改良区</t>
  </si>
  <si>
    <t>八開村土地改良区</t>
  </si>
  <si>
    <t>十四山土地改良区</t>
  </si>
  <si>
    <t>鍋田土地改良区</t>
  </si>
  <si>
    <t>飛島土地改良区</t>
  </si>
  <si>
    <t>美和町土地改良区</t>
  </si>
  <si>
    <t>蟹江町土地改良区</t>
  </si>
  <si>
    <t>愛知用水土地改良区</t>
  </si>
  <si>
    <t>金山揚水土地改良区</t>
  </si>
  <si>
    <t>明治用水土地改良区</t>
  </si>
  <si>
    <t>矢作川南部土地改良区</t>
  </si>
  <si>
    <t>豊田土地改良区</t>
  </si>
  <si>
    <t>旭土地改良区</t>
  </si>
  <si>
    <t>豊川総合用水土地改良区</t>
  </si>
  <si>
    <t>神野新田土地改良区</t>
  </si>
  <si>
    <t>豊橋西部土地改良区</t>
  </si>
  <si>
    <t>高豊土地改良区</t>
  </si>
  <si>
    <t>二川土地改良区</t>
  </si>
  <si>
    <t>豊橋開拓土地改良区</t>
  </si>
  <si>
    <t>豊橋南部土地改良区</t>
  </si>
  <si>
    <t>豊橋北部土地改良区</t>
  </si>
  <si>
    <t>豊川市土地改良区</t>
  </si>
  <si>
    <t>牟呂用水土地改良区</t>
  </si>
  <si>
    <t>蒲郡市土地改良区</t>
  </si>
  <si>
    <t>田原市土地改良区</t>
  </si>
  <si>
    <t>松阪市</t>
  </si>
  <si>
    <t>水沢茶農業協同組合</t>
  </si>
  <si>
    <t>白江野土地改良区</t>
  </si>
  <si>
    <t>地すべり対策事業</t>
  </si>
  <si>
    <t>農村地域防災減災事業</t>
  </si>
  <si>
    <t>農村地域防災減災事業</t>
  </si>
  <si>
    <t>戸別所得補償実施円滑化基盤整備事業費補助</t>
  </si>
  <si>
    <t>戸別所得補償実施円滑化基盤整備事業</t>
  </si>
  <si>
    <t>愛知県</t>
  </si>
  <si>
    <t>農業施設災害復旧事業費</t>
  </si>
  <si>
    <t>農業用施設災害復旧事業費補助</t>
  </si>
  <si>
    <t>団体営災害復旧事業（24年災）</t>
  </si>
  <si>
    <t>農地災害復旧事業費補助</t>
  </si>
  <si>
    <t>汚水処理施設整備交付金</t>
  </si>
  <si>
    <t>新城市</t>
  </si>
  <si>
    <t>弥富市</t>
  </si>
  <si>
    <t>豊橋市</t>
  </si>
  <si>
    <t>田原市</t>
  </si>
  <si>
    <t>揖斐川町</t>
  </si>
  <si>
    <t>郡上市</t>
  </si>
  <si>
    <t>明和町</t>
  </si>
  <si>
    <t>指導監督交付金</t>
  </si>
  <si>
    <t>戸別所得補償実施円滑化基盤整備事業費</t>
  </si>
  <si>
    <t>H24.5.7
H24.6.29
H24.8.1
H24.10.23
H24.12.12
H25.2.28</t>
  </si>
  <si>
    <t>矢作川沿岸土地改良区連合</t>
  </si>
  <si>
    <t>国営造成施設県管理費補助事業</t>
  </si>
  <si>
    <t>H25.4.1　　　　　　　　　　　　H25.6.14</t>
  </si>
  <si>
    <t>H25.4.1　　　　　　　　　　　　　　H25.6.3</t>
  </si>
  <si>
    <t>基幹水利施設管理事業</t>
  </si>
  <si>
    <t>H25.4.1　　　　　　　　　　H25.6.14</t>
  </si>
  <si>
    <t>基幹水利施設保全管理対策事業</t>
  </si>
  <si>
    <t>国営造成施設管理体制整備促進事業</t>
  </si>
  <si>
    <t>H25.5.17　　　　　　　H25.6.14　　　　　　　H25.7.22</t>
  </si>
  <si>
    <t>土地改良施設PCB廃棄物処理促進対策事業</t>
  </si>
  <si>
    <t>農業水利施設保全合理化事業補助金</t>
  </si>
  <si>
    <t>前年度からの繰越</t>
  </si>
  <si>
    <t>団体営災害復旧事業（23年災）</t>
  </si>
  <si>
    <t>草地畜産基盤整備事業</t>
  </si>
  <si>
    <t>前年度からの繰越分</t>
  </si>
  <si>
    <t>宇陀・名張地域鳥獣害防止広域対策協議会</t>
  </si>
  <si>
    <t>鳥獣被害防止総合対策推進交付金</t>
  </si>
  <si>
    <t>農山漁村活性化対策推進交付金</t>
  </si>
  <si>
    <t>H24.8.23
H25.3.12</t>
  </si>
  <si>
    <t>鳥獣被害防止総合対策整備交付金</t>
  </si>
  <si>
    <t>農山漁村活性化対策整備交付金</t>
  </si>
  <si>
    <t>農山漁村活性化対策費</t>
  </si>
  <si>
    <t>環境保全型農業直接支払推進交付金</t>
  </si>
  <si>
    <t>環境保全型農業直接支援対策交付金</t>
  </si>
  <si>
    <t>愛知こだわり倶楽部　土壌研究会</t>
  </si>
  <si>
    <t>農業生産環境対策事業</t>
  </si>
  <si>
    <t>環境保全型農業生産対策事業費補助金</t>
  </si>
  <si>
    <t>環境保全型農業生産対策費</t>
  </si>
  <si>
    <t>農業・食品産業強化対策整備交付金</t>
  </si>
  <si>
    <t>農業・食品産業強化対策費</t>
  </si>
  <si>
    <t>東海エコフィード普及協議会</t>
  </si>
  <si>
    <t>地域資源活用型エコフィード増産推進事業</t>
  </si>
  <si>
    <t>牛肉等関税財源飼料対策費補助金</t>
  </si>
  <si>
    <t>愛知県養豚農協原種豚研究部会</t>
  </si>
  <si>
    <t>家畜改良推進事業</t>
  </si>
  <si>
    <t>牛肉等関税財源国産畜産物・食農連携強化対策費補助金</t>
  </si>
  <si>
    <t>牛肉等関税財源国産畜産物・食農連携強化対策費</t>
  </si>
  <si>
    <t>協同農業普及事業</t>
  </si>
  <si>
    <t>協同農業普及事業交付金</t>
  </si>
  <si>
    <t>三重県酪農業協同組合連合会</t>
  </si>
  <si>
    <t>飛騨酪農農業協同組合</t>
  </si>
  <si>
    <t>愛知県酪農農業協同組合</t>
  </si>
  <si>
    <t>産地活性化総合対策事業</t>
  </si>
  <si>
    <t>西尾市養蜂等振興推進協議会</t>
  </si>
  <si>
    <t>松阪明和地区養蜂等振興推進協議会</t>
  </si>
  <si>
    <t>愛知県養蜂協会</t>
  </si>
  <si>
    <t>Ｊ－そよかぜアグリ推進協議会</t>
  </si>
  <si>
    <t>伊賀有機農業推進協議会</t>
  </si>
  <si>
    <t>愛知県乳業再編協議会</t>
  </si>
  <si>
    <t>岐阜県養蜂組合連合会</t>
  </si>
  <si>
    <t>国産農畜産物・食農連携強化対策事業費補助金</t>
  </si>
  <si>
    <t>国産農畜産物・食農連携強化対策費</t>
  </si>
  <si>
    <t>農業経営安定勘定</t>
  </si>
  <si>
    <t>農業経営安定事業費</t>
  </si>
  <si>
    <t>農業経営安定事業収入減少影響緩和対策交付金</t>
  </si>
  <si>
    <t>収入減少影響緩和対策交付金</t>
  </si>
  <si>
    <t>個人等4名</t>
  </si>
  <si>
    <t>農業経営安定事業生産条件不利補正対策交付金</t>
  </si>
  <si>
    <t>畑作物の直接支払交付金</t>
  </si>
  <si>
    <t>農業経営基盤強化勘定</t>
  </si>
  <si>
    <t>農業経営基盤強化事業費</t>
  </si>
  <si>
    <t>事務取扱交付金</t>
  </si>
  <si>
    <t>農業経営基盤強化事業事務取扱交付金</t>
  </si>
  <si>
    <t>岐阜県</t>
  </si>
  <si>
    <t>農地保有合理化促進対策費補助金</t>
  </si>
  <si>
    <t>農地保有合理化促進事業</t>
  </si>
  <si>
    <t>就農支援資金貸付金</t>
  </si>
  <si>
    <t>就農支援資金貸付金</t>
  </si>
  <si>
    <t>農地保有合理化促進対策費交付金</t>
  </si>
  <si>
    <t>三重県南紀農業協同組合</t>
  </si>
  <si>
    <t>日本の食を広げるプロジェクト事業</t>
  </si>
  <si>
    <t>愛知県食品輸出研究会</t>
  </si>
  <si>
    <t>国産農林水産物消費拡大対策事業費補助金</t>
  </si>
  <si>
    <t>国産農林水産物消費拡大対策費</t>
  </si>
  <si>
    <t>有限会社　ひるがのラファノス</t>
  </si>
  <si>
    <t>６次産業化推進支援事業</t>
  </si>
  <si>
    <t>株式会社　浅間真珠</t>
  </si>
  <si>
    <t>三重県食品産業振興会</t>
  </si>
  <si>
    <t>株式会社　田辺真珠養殖場</t>
  </si>
  <si>
    <t>食農産業クラスター推進協議会</t>
  </si>
  <si>
    <t>農山漁村６次産業化対策事業費補助金</t>
  </si>
  <si>
    <t>農山漁村６次産業化対策費</t>
  </si>
  <si>
    <t>農業委員会交付金</t>
  </si>
  <si>
    <t>農地調整交付金</t>
  </si>
  <si>
    <t>農地調整費交付金</t>
  </si>
  <si>
    <t>都道府県農業会議会議員手当等負担金</t>
  </si>
  <si>
    <t>都道府県農業会議会議員手当等負担金</t>
  </si>
  <si>
    <t>農業委員会費補助金</t>
  </si>
  <si>
    <t>優良農地確保・有効利用対策費</t>
  </si>
  <si>
    <t>経営所得安定対策交付金</t>
  </si>
  <si>
    <t>農業者育成支援事業</t>
  </si>
  <si>
    <t>農業経営対策地方公共団体整備費補助金</t>
  </si>
  <si>
    <t>人・農地問題解決推進事業</t>
  </si>
  <si>
    <t>経営体育成支援事業</t>
  </si>
  <si>
    <t>直接支払推進事業</t>
  </si>
  <si>
    <t>農業経営対策地方公共団体事業費補助金</t>
  </si>
  <si>
    <t>三重県農業会議</t>
  </si>
  <si>
    <t>女性経営者発展支援事業</t>
  </si>
  <si>
    <t>愛知県農村生活アドバイザー協会</t>
  </si>
  <si>
    <t>岐阜県農業会議</t>
  </si>
  <si>
    <t>農業経営対策事業費補助金</t>
  </si>
  <si>
    <t>三重県農業信用基金協会</t>
  </si>
  <si>
    <t>農業信用保証保険基盤安定事業</t>
  </si>
  <si>
    <t>岐阜県農業信用基金協会</t>
  </si>
  <si>
    <t>H25.6.12
H25.9.5</t>
  </si>
  <si>
    <t>農業経営改善利子補給金交付事業</t>
  </si>
  <si>
    <t>愛知県農業信用基金協会</t>
  </si>
  <si>
    <t>農業経営金融支援対策費補助金</t>
  </si>
  <si>
    <t>農業経営対策費</t>
  </si>
  <si>
    <t>食の安全・消費者の信頼確保対策費</t>
  </si>
  <si>
    <t>食の安全・消費者の信頼確保対策推進交付金</t>
  </si>
  <si>
    <t>消費・安全対策交付金</t>
  </si>
  <si>
    <t>三重県</t>
  </si>
  <si>
    <t>植物防疫事業交付金</t>
  </si>
  <si>
    <t>食の安全・消費者の信頼確保対策事業関係補助金等</t>
  </si>
  <si>
    <t>H25.4.11
H25.5.21</t>
  </si>
  <si>
    <t>H25.4.12
H25.5.21</t>
  </si>
  <si>
    <t>都市農村交流等対策費</t>
  </si>
  <si>
    <t>都市農村交流等対策推進交付金</t>
  </si>
  <si>
    <t>都市農村共生・対流総合対策交付金</t>
  </si>
  <si>
    <t>時まちづくり活動推進実行委員会</t>
  </si>
  <si>
    <t>奥矢作移住定住促進協議会</t>
  </si>
  <si>
    <t>奥三河つぐ高原グリーンツーリズム推進協議会</t>
  </si>
  <si>
    <t>特定非営利活動法人 ボランタリーネイバーズ</t>
  </si>
  <si>
    <t>木の子の里・錦生事業協議会</t>
  </si>
  <si>
    <t>七保地域活性化協議会</t>
  </si>
  <si>
    <t>一般財団法人 熊野市ふるさと振興公社</t>
  </si>
  <si>
    <t>食と地域の交流促進対策交付金</t>
  </si>
  <si>
    <t>加子母むらづくり協議会</t>
  </si>
  <si>
    <t>山里生活体験推進委員会</t>
  </si>
  <si>
    <t>馬瀬地方自然公園づくり委員会</t>
  </si>
  <si>
    <t>赤倉地区「童集乃村」活性化協議会</t>
  </si>
  <si>
    <t>あいちの山里産直コンソーシアム</t>
  </si>
  <si>
    <t>新城南部ファンクラブ</t>
  </si>
  <si>
    <t>農山漁村活性化プロジェクト支援交付金</t>
  </si>
  <si>
    <t>桑名市</t>
  </si>
  <si>
    <t>豊根村</t>
  </si>
  <si>
    <t>一宮市</t>
  </si>
  <si>
    <t>名張市</t>
  </si>
  <si>
    <t>熊野市</t>
  </si>
  <si>
    <t>土地改良施設管理費補助</t>
  </si>
  <si>
    <t>国営造成施設管理費補助</t>
  </si>
  <si>
    <t>土地改良融資事業等指導監督費補助（技術力向上事業）</t>
  </si>
  <si>
    <t>農山漁村６次産業化対策事業補助金</t>
  </si>
  <si>
    <t>新城設楽地域農地・水・環境保全協議会（愛知県）</t>
  </si>
  <si>
    <t>新城設楽地域農地・水・環境保全協議会（愛知県）管内の活動組織6組織</t>
  </si>
  <si>
    <t>西尾幡豆地域農地・水・環境保全協議会（愛知県）管内の活動組織8組織</t>
  </si>
  <si>
    <t>一宮地域農地・水・環境保全協議会（愛知県）管内の活動組織1組織</t>
  </si>
  <si>
    <t>汚水処理施設整備交付金の指導監督</t>
  </si>
  <si>
    <t>祖父江町土地改良区</t>
  </si>
  <si>
    <t>三重県土地改良事業団体連合会</t>
  </si>
  <si>
    <t>愛知県土地改良事業団体連合会</t>
  </si>
  <si>
    <t>一般社団法人　岐阜県畜産協会</t>
  </si>
  <si>
    <t>H24.4.18
H25.3.6</t>
  </si>
  <si>
    <t>H24.9.14
H24.12.25</t>
  </si>
  <si>
    <t>H25.6.13
H26.2.28</t>
  </si>
  <si>
    <t>H25.6.18
H25.12.24</t>
  </si>
  <si>
    <t>H25.6.11
H25.8.23
H25.10.16
H26.2.24</t>
  </si>
  <si>
    <t>入鹿用水土地改良区</t>
  </si>
  <si>
    <t>中山間地域等直接支払交付金</t>
  </si>
  <si>
    <t>H25.5.20
H26.1.30</t>
  </si>
  <si>
    <t>H24.4.27
H25.3.22</t>
  </si>
  <si>
    <t>H24.4.27
H25.3.8
H25.3.22</t>
  </si>
  <si>
    <t>H24.4.27
H25.3.8
H25.3.22
H26.3.5</t>
  </si>
  <si>
    <t>H24.4.27
H25.1.17
H25.3.8
H25.3.22</t>
  </si>
  <si>
    <t>H25.4.10
H25.6.10</t>
  </si>
  <si>
    <t>H25.4.10
H25.6.10
H26.3.5</t>
  </si>
  <si>
    <t>H25.5.20
H25.6.28
H25.12.16</t>
  </si>
  <si>
    <t>H25.5.20
H25.6.28</t>
  </si>
  <si>
    <t>H25.6.6
H25.12.20
H26.3.7</t>
  </si>
  <si>
    <t>H25.6.13
H26.3.5</t>
  </si>
  <si>
    <t>H25.4.18
H25.6.10
H26.3.7</t>
  </si>
  <si>
    <t>H25.4.24
H25.6.7</t>
  </si>
  <si>
    <t>H25.3.15　　　　　　　　　　　　　　H26.3.13</t>
  </si>
  <si>
    <t>H25.3.15　　　　　　　　　　　　　　H26.3.7</t>
  </si>
  <si>
    <t>H25.3.25　　　　　　　　　　　　　　H26.3.12</t>
  </si>
  <si>
    <t>H25.4.10　　　　　　　　　H25.5.30　　　　　　　　H25.10.15　　　　　　　  　H26.3.3　　　　　　  　H26.3.13</t>
  </si>
  <si>
    <t>H25.4.26　　　　　　　　　　H25.5.31　　　　　　　　　　　　　H25.8.6　　　　　　　　　　　　H25.10.8　　　　　　　  　H26.2.12　　　　　　  　H26.3.12</t>
  </si>
  <si>
    <t>H25.4.30　　　　　　　　　　H25.5.31　　　　　　　　　H25.11.15　　　　　　　  　H25.12.11　　　　　　  　H26.3.13</t>
  </si>
  <si>
    <t>農村地域防災減災事業費補助</t>
  </si>
  <si>
    <t>農地農業用施設災害復旧事業</t>
  </si>
  <si>
    <t>災害査定用設計委託費補助</t>
  </si>
  <si>
    <t>団体営災害復旧事業（23年災）</t>
  </si>
  <si>
    <t>岐阜県</t>
  </si>
  <si>
    <t>団体営災害復旧事業（25年災）</t>
  </si>
  <si>
    <t>H25.9.9
H26.2.4
H26.3.13</t>
  </si>
  <si>
    <t>H25.8.7
H26.3.14</t>
  </si>
  <si>
    <t>H25.8.7
H26.3.13</t>
  </si>
  <si>
    <t>H25.9.13
H26.3.14</t>
  </si>
  <si>
    <t>農業施設災災害関連事業費</t>
  </si>
  <si>
    <t>農業用施設等災害関連事業費補助</t>
  </si>
  <si>
    <t>災害関連農村生活環境施設復旧事業費補助</t>
  </si>
  <si>
    <t>災害関連農村生活環境施設復旧事業（23年災）</t>
  </si>
  <si>
    <t>災害関連農村生活環境施設復旧事業（25年災）</t>
  </si>
  <si>
    <t>H25.4.15
H25.7.16
H25.11.13
H26.2.3</t>
  </si>
  <si>
    <t>H25.4.15
H25.6.26
H25.10.28</t>
  </si>
  <si>
    <t>H25.4.24
H25.7.17
H25.10.21</t>
  </si>
  <si>
    <t>H25.4.24
H25.7.3
H25.10.29</t>
  </si>
  <si>
    <t>H25.4.24
H25.7.5
H25.10.24</t>
  </si>
  <si>
    <t>H25.4.24
H25.7.1
H25.10.29</t>
  </si>
  <si>
    <t>H25.4.24
H25.7.1
H25.10.25</t>
  </si>
  <si>
    <t>H25.4.24
H25.7.1
H25.10.24</t>
  </si>
  <si>
    <t>H25.4.24
H25.7.1
H25.10.21</t>
  </si>
  <si>
    <r>
      <rPr>
        <sz val="11"/>
        <rFont val="ＭＳ Ｐゴシック"/>
        <family val="3"/>
      </rPr>
      <t>H25.5.29
H25.7.9
H25.7.22
H25.8.7
H25.8.8
H25.8.21
H25.8.27
H25.8.29
H25.10.7
H25.10.10
H25.10.17
H25.10.22
H25.10.25
H25.10.28
H25.11.13
H25.11.14
H25.11.21
H25.11.29
H25.12.4
H25.12.16
H26.1.7
H26.2.3
H26.2.6</t>
    </r>
  </si>
  <si>
    <t>岐阜県農地・水・環境保全推進協議会（岐阜県）管内の活動組織313組織</t>
  </si>
  <si>
    <t>H25.6.13
H26.3.7</t>
  </si>
  <si>
    <r>
      <rPr>
        <sz val="11"/>
        <rFont val="ＭＳ Ｐゴシック"/>
        <family val="3"/>
      </rPr>
      <t>H25.7.16
H25.8.21</t>
    </r>
  </si>
  <si>
    <t>H25.7.29
H25.8.27
H25.10.23</t>
  </si>
  <si>
    <t>農地・水・環境保全知多地域協議会（愛知県）管内の活動組織18組織</t>
  </si>
  <si>
    <t>H25.7.30
H25.11.13</t>
  </si>
  <si>
    <t>東三河地域農地・水・環境保全協議会（愛知県）管内の活動組織19組織</t>
  </si>
  <si>
    <t>H25.8.1
H25.10.31</t>
  </si>
  <si>
    <t>尾張地域農地・水・環境保全協議会（愛知県）管内の活動組織3組織</t>
  </si>
  <si>
    <t>H25.8.7
H26.3.14</t>
  </si>
  <si>
    <t>H25.8.7
H25.11.21</t>
  </si>
  <si>
    <t>西三河地域農地・水・環境保全協議会（愛知県）管内の活動組織39組織</t>
  </si>
  <si>
    <r>
      <rPr>
        <sz val="11"/>
        <rFont val="ＭＳ Ｐゴシック"/>
        <family val="3"/>
      </rPr>
      <t xml:space="preserve">H25.8.7
</t>
    </r>
    <r>
      <rPr>
        <sz val="11"/>
        <rFont val="ＭＳ Ｐゴシック"/>
        <family val="3"/>
      </rPr>
      <t>H25.8.21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H25.10.7</t>
    </r>
    <r>
      <rPr>
        <sz val="11"/>
        <rFont val="ＭＳ Ｐゴシック"/>
        <family val="3"/>
      </rPr>
      <t xml:space="preserve">
H25.10.17
H25.10.23
</t>
    </r>
    <r>
      <rPr>
        <sz val="11"/>
        <rFont val="ＭＳ Ｐゴシック"/>
        <family val="3"/>
      </rPr>
      <t>H25.11.15</t>
    </r>
    <r>
      <rPr>
        <sz val="11"/>
        <rFont val="ＭＳ Ｐゴシック"/>
        <family val="3"/>
      </rPr>
      <t xml:space="preserve">
H25.11.22
H25.12.11
</t>
    </r>
    <r>
      <rPr>
        <sz val="11"/>
        <rFont val="ＭＳ Ｐゴシック"/>
        <family val="3"/>
      </rPr>
      <t>H25.12.2</t>
    </r>
    <r>
      <rPr>
        <sz val="11"/>
        <rFont val="ＭＳ Ｐゴシック"/>
        <family val="3"/>
      </rPr>
      <t xml:space="preserve">
H26.2.13
H26.2.26
</t>
    </r>
    <r>
      <rPr>
        <sz val="11"/>
        <rFont val="ＭＳ Ｐゴシック"/>
        <family val="3"/>
      </rPr>
      <t>H26.3.3
H26.3.7
H26.3.14</t>
    </r>
  </si>
  <si>
    <t>三重県農地・水・環境保全向上対策協議会（三重県）管内の活動組織47組織</t>
  </si>
  <si>
    <t>H25.8.21
H25.11.13</t>
  </si>
  <si>
    <t>海部地域協議会（愛知県）管内の活動組織27組織</t>
  </si>
  <si>
    <t>H24.6.7
H25.2.14
H25.3.12
H26.3.7</t>
  </si>
  <si>
    <t>H24.6.15
H25.1.28</t>
  </si>
  <si>
    <t>H24.4.18
H25.3.6</t>
  </si>
  <si>
    <t>H25.3.27
H26.3.7</t>
  </si>
  <si>
    <t>H25.4.10
H25.5.10
H25.5.30
H25.10.15
H26.3.7</t>
  </si>
  <si>
    <t>H25.5.29
H25.9.2</t>
  </si>
  <si>
    <t>H25.3.13
H26.3.12</t>
  </si>
  <si>
    <t>H25.3.13
H26.3.3</t>
  </si>
  <si>
    <t>H25.5.29
H26.3.12</t>
  </si>
  <si>
    <t>H25.4.10
H25.5.30
H25.10.15
H26.3.3</t>
  </si>
  <si>
    <t>H25.4.25
H25.6.14
H25.7.12
H25.10.10
H25.12.19
H26.2.19
H26.3.7</t>
  </si>
  <si>
    <t>H25.3.13
H26.3.7</t>
  </si>
  <si>
    <t>H25.3.13
H26.3.3</t>
  </si>
  <si>
    <t>H25.3.22
H26.3.5</t>
  </si>
  <si>
    <t>H25.4.10
H25.5.30
H25.10.15
H26.3.3</t>
  </si>
  <si>
    <t>H25.4.22
H25.9.11</t>
  </si>
  <si>
    <t>H25.4.25
H26.3.17</t>
  </si>
  <si>
    <t>H25.4.25
H25.6.12
H25.9.9
H25.10.10
H26.1.17
H26.3.7
H26.3.26</t>
  </si>
  <si>
    <t>H25.4.26
H25.6.14
H26.1.7</t>
  </si>
  <si>
    <t>H25.4.26
H25.11.18
H26.1.14
H26.3.7</t>
  </si>
  <si>
    <t>H25.5.10
H25.6.12
H26.3.7</t>
  </si>
  <si>
    <t>H25.6.6
H26.1.17</t>
  </si>
  <si>
    <t>H25.6.6
H25.12.26</t>
  </si>
  <si>
    <t>H25.6.6
H25.12.16</t>
  </si>
  <si>
    <t>H25.6.6
H26.2.3</t>
  </si>
  <si>
    <t>H25.6.12
H26.1.17</t>
  </si>
  <si>
    <t>H25.6.12
H25.12.10
H26.2.20</t>
  </si>
  <si>
    <t>H25.6.12
H26.1.9
H26.3.13</t>
  </si>
  <si>
    <t>H25.6.12
H26.1.24</t>
  </si>
  <si>
    <t>H25.6.12
H26.1.7
H26.2.18</t>
  </si>
  <si>
    <t>H25.6.12
H25.12.16</t>
  </si>
  <si>
    <t>H25.6.12
H25.11.27
H26.2.28</t>
  </si>
  <si>
    <t>H25.6.12
H26.2.28</t>
  </si>
  <si>
    <t>H25.6.12
H25.11.29</t>
  </si>
  <si>
    <t>H25.6.12
H25.12.10
H26.2.18</t>
  </si>
  <si>
    <t>H25.6.12
H26.3.3</t>
  </si>
  <si>
    <t>H25.6.12
H26.3.20</t>
  </si>
  <si>
    <t>H25.6.12
H26.2.3</t>
  </si>
  <si>
    <t>H25.6.12
H26.3.13</t>
  </si>
  <si>
    <t>H25.6.12
H25.7.17
H26.1.10</t>
  </si>
  <si>
    <t>H25.6.12
H25.8.5
H26.1.31</t>
  </si>
  <si>
    <t>H25.6.12
H25.9.17</t>
  </si>
  <si>
    <t>H25.6.14
H25.9.25</t>
  </si>
  <si>
    <t>H24.4.17
H25.3.12
H26.3.3</t>
  </si>
  <si>
    <t>H24.5.31
H25.2.12
H25.3.8
H26.3.7</t>
  </si>
  <si>
    <t>とよた都市農山村交流ネットワーク</t>
  </si>
  <si>
    <t>一般社団法人 ふるさと体験飛騨高山</t>
  </si>
  <si>
    <t>郡上・田舎の学校</t>
  </si>
  <si>
    <t>太郎生の美しい棚田・里山等を生かした地域づくり推進委員会</t>
  </si>
  <si>
    <t>ＮＰＯ法人 青空見聞塾</t>
  </si>
  <si>
    <t>「農」のある暮らしづくり交付金</t>
  </si>
  <si>
    <t>ＮＰＯ法人 日進野菜塾</t>
  </si>
  <si>
    <t>合同会社 アグリホリック</t>
  </si>
  <si>
    <t>南飛騨 癒しの森活性化研究会</t>
  </si>
  <si>
    <t>あいち食育農園</t>
  </si>
  <si>
    <t>社会福祉法人 まつさか福祉会</t>
  </si>
  <si>
    <t>特定非営利活動法人 楽笑</t>
  </si>
  <si>
    <t>特定非営利活動法人 呼夢・フレンズ</t>
  </si>
  <si>
    <t>農事組合法人 ＩＮＳ</t>
  </si>
  <si>
    <t>都市農村交流等対策整備交付金</t>
  </si>
  <si>
    <t>H25.5.23
H25.9.9
H26.2.24</t>
  </si>
  <si>
    <t>H25.5.23
H25.8.30
H26.1.10
H26.2.24</t>
  </si>
  <si>
    <t>H25.5.27
H25.9.4
H26.1.17
H26.2.27</t>
  </si>
  <si>
    <t>H25.6.5
H26.2.24</t>
  </si>
  <si>
    <t>H25.7.2
H25.10.16</t>
  </si>
  <si>
    <t>農地保有合理化促進対策費交付金</t>
  </si>
  <si>
    <t>H25.4.26
H25.6.21
H26.2.6</t>
  </si>
  <si>
    <t>H25.5.1
H25.7.9
H26.3.13</t>
  </si>
  <si>
    <t>H25.5.1
H25.6.21
H26.3.3</t>
  </si>
  <si>
    <t>H25.5.17
H25.7.24
H25.11.6
H26.3.7</t>
  </si>
  <si>
    <t>H25.6.14
H25.7.19
H25.8.19
H26.3.14</t>
  </si>
  <si>
    <t>H25.6.14
H25.8.30
H26.3.7</t>
  </si>
  <si>
    <t>H25.9.4
H25.9.30
H25.10.15
H25.11.6
H26.1.29
H26.3.7</t>
  </si>
  <si>
    <t>H25.10.16
H25.11.26
H25.12.19
H26.1.28
H26.2.6
H26.3.7</t>
  </si>
  <si>
    <t>H25.5.29
H25.6.27
H25.8.29</t>
  </si>
  <si>
    <t>H25.7.22
H25.11.15
H26.2.28</t>
  </si>
  <si>
    <t>H25.9.12
H25.10.21
H26.1.9</t>
  </si>
  <si>
    <t>H25.8.21
H26.2.7</t>
  </si>
  <si>
    <t>個人等85,722名</t>
  </si>
  <si>
    <t>H25.5.30
H25.10.15
H26.2.10</t>
  </si>
  <si>
    <t>H25.6.25
H26.3.5</t>
  </si>
  <si>
    <t>H25.4.15
H25.5.24
H26.2.3</t>
  </si>
  <si>
    <t>H25.4.15
H25.5.30
H26.2.10</t>
  </si>
  <si>
    <t>H25.4.15
H25.6.25
H26.2.10</t>
  </si>
  <si>
    <t>H25.5.29
H25.11.13
H26.2.19</t>
  </si>
  <si>
    <t>H25.6.5
H25.11.20</t>
  </si>
  <si>
    <t>H25.6.6
H25.11.28</t>
  </si>
  <si>
    <t>農地集積・集約化対策地方公共団体事業費補助金</t>
  </si>
  <si>
    <t>農地中間管理機構事業</t>
  </si>
  <si>
    <t>機構集積協力金交付事業</t>
  </si>
  <si>
    <t>H25.9.9
H26.3.26</t>
  </si>
  <si>
    <t>農事組合法人　INS</t>
  </si>
  <si>
    <t>株式会社　杉田組</t>
  </si>
  <si>
    <t>サインズ株式会社</t>
  </si>
  <si>
    <t>TAKファーム株式会社</t>
  </si>
  <si>
    <t>有限会社　春見ライス</t>
  </si>
  <si>
    <t>農山漁村６次産業化対策整備費補助金</t>
  </si>
  <si>
    <t>地域バイオマス産業化整備事業</t>
  </si>
  <si>
    <t>オオブユニティ株式会社</t>
  </si>
  <si>
    <t>６次産業化整備支援事業</t>
  </si>
  <si>
    <t>農山漁村６次産業化対策推進交付金</t>
  </si>
  <si>
    <t>６次産業ネットワーク活動推進交付金</t>
  </si>
  <si>
    <t>H25.10.23
H26.3.12</t>
  </si>
  <si>
    <t>H25.10.25
H26.3.12</t>
  </si>
  <si>
    <t>H25.8.29
H25.12.24</t>
  </si>
  <si>
    <t>四日市商工会議所</t>
  </si>
  <si>
    <t>H25.4.26
H25.11.7</t>
  </si>
  <si>
    <t>H25.5.31
H25.10.11</t>
  </si>
  <si>
    <t>H25.6.6
H25.6.18
H25.10.21</t>
  </si>
  <si>
    <t>H25.6.17
H26.3.6</t>
  </si>
  <si>
    <t>H25.7.3
H25.7.18
H26.2.24</t>
  </si>
  <si>
    <t>H25.6.6</t>
  </si>
  <si>
    <t>三重南紀元気なみかんの里創生プロジェクト協議会</t>
  </si>
  <si>
    <t>H25.6.18</t>
  </si>
  <si>
    <t>H25.6.21
H26.3.14</t>
  </si>
  <si>
    <t>H25.6.27</t>
  </si>
  <si>
    <t>H25.6.28</t>
  </si>
  <si>
    <t>H25.7.9</t>
  </si>
  <si>
    <t>H25.7.10</t>
  </si>
  <si>
    <t>H25.7.19</t>
  </si>
  <si>
    <t>H25.7.23</t>
  </si>
  <si>
    <t>H25.8.26</t>
  </si>
  <si>
    <t>H25.9.2
H25.10.31</t>
  </si>
  <si>
    <t>一鍬田茶業組合</t>
  </si>
  <si>
    <t>農事組合法人　水沢かぶせ会製茶共同組合</t>
  </si>
  <si>
    <t>茶改植等支援事業</t>
  </si>
  <si>
    <t>H25.10.7
H26.2.4</t>
  </si>
  <si>
    <t>三重県茶業会議所</t>
  </si>
  <si>
    <t>H25.10.16
H26.2.18</t>
  </si>
  <si>
    <t>愛知県茶業連合会</t>
  </si>
  <si>
    <t>白川町茶業振興会</t>
  </si>
  <si>
    <t>東白川村茶業振興会</t>
  </si>
  <si>
    <t>家畜改良推進事業</t>
  </si>
  <si>
    <t>攻めの農業実践緊急対策事業推進費補助金</t>
  </si>
  <si>
    <t>愛知県農業再生協議会</t>
  </si>
  <si>
    <t>持続的酪農経営支援事業交付金</t>
  </si>
  <si>
    <t>持続的酪農経営支援事業</t>
  </si>
  <si>
    <t>H26.3.7
H26.3.14</t>
  </si>
  <si>
    <t>個人等２０名</t>
  </si>
  <si>
    <t>牛肉等関税財源飼料対策費交付金</t>
  </si>
  <si>
    <t>国産粗飼料増産対策事業</t>
  </si>
  <si>
    <t>個人等１８名</t>
  </si>
  <si>
    <t>強い農業づくり交付金</t>
  </si>
  <si>
    <t>H25.6.13
H25.7.30
H25.10.23
H26.1.21</t>
  </si>
  <si>
    <t>H25.6.25
H25.12.20</t>
  </si>
  <si>
    <t>H25.7.24
H25.12.20</t>
  </si>
  <si>
    <t>H25.10.28
H26.2.7</t>
  </si>
  <si>
    <t>H25.10.28
H26.1.10</t>
  </si>
  <si>
    <t>H25.7.3
H26.3.5</t>
  </si>
  <si>
    <t>H25.7.5
H26.3.6</t>
  </si>
  <si>
    <t>環境保全型農業直接支払交付金</t>
  </si>
  <si>
    <t>H26.3.25
H26.3.26</t>
  </si>
  <si>
    <t>個人等３０４名</t>
  </si>
  <si>
    <t>H25.8.7
H26.3.4</t>
  </si>
  <si>
    <t>H25.8.8
H25.11.11</t>
  </si>
  <si>
    <t>H25.8.8
H25.11.29</t>
  </si>
  <si>
    <t>H25.8.7
H26.1.29</t>
  </si>
  <si>
    <t>H25.10.3
H26.2.5
H26.2.19</t>
  </si>
  <si>
    <t>H25.9.13
H26.3.7
H26.3.14</t>
  </si>
  <si>
    <t>H25.3.22
H26.3.13</t>
  </si>
  <si>
    <t>H24.5.7
H24.12.6
H26.1.6</t>
  </si>
  <si>
    <t>個人</t>
  </si>
  <si>
    <t>個人等733名</t>
  </si>
  <si>
    <t>支出額</t>
  </si>
  <si>
    <t>翌年度へ繰越
\185,915,000円</t>
  </si>
  <si>
    <t>翌年度へ繰越
\224,963,000円</t>
  </si>
  <si>
    <t>翌年度へ繰越
\2,500,000円</t>
  </si>
  <si>
    <t>翌年度へ繰越
\188,725,000円</t>
  </si>
  <si>
    <t>翌年度へ繰越
\1,968,700,000円</t>
  </si>
  <si>
    <t>翌年度へ繰越
\75,000,000円</t>
  </si>
  <si>
    <t>翌年度へ繰越
\5,379,350円</t>
  </si>
  <si>
    <t>翌年度へ繰越
\68,750,000円</t>
  </si>
  <si>
    <t>翌年度へ繰越
\9,340,000円</t>
  </si>
  <si>
    <t>翌年度へ繰越
\94,000,000円</t>
  </si>
  <si>
    <t>翌年度へ繰越
\16,476,000円</t>
  </si>
  <si>
    <t>翌年度へ繰越
\98,097,000円</t>
  </si>
  <si>
    <t>翌年度へ繰越
\11,032,000円</t>
  </si>
  <si>
    <t>翌年度へ繰越
\1,412,000円</t>
  </si>
  <si>
    <t>翌年度へ繰越
\14,789,950円</t>
  </si>
  <si>
    <t>翌年度へ繰越
\12,500,000円</t>
  </si>
  <si>
    <t>翌年度へ繰越
\311,750,000円</t>
  </si>
  <si>
    <t>翌年度へ繰越
\16,500,000円</t>
  </si>
  <si>
    <t>翌年度へ繰越
\218,750,450円</t>
  </si>
  <si>
    <t>前年度からの繰越
翌年度へ繰越
\6,539,000円</t>
  </si>
  <si>
    <t>翌年度へ繰越
\4,950,000円</t>
  </si>
  <si>
    <t>翌年度へ繰越
\26,334,727円</t>
  </si>
  <si>
    <t>翌年度へ繰越
\72,204,178円</t>
  </si>
  <si>
    <t>前年度からの繰越
翌年度へ繰越
\7,700,000円</t>
  </si>
  <si>
    <t>翌年度へ繰越
\658,350,000円</t>
  </si>
  <si>
    <t>翌年度へ繰越
\264,472,500円</t>
  </si>
  <si>
    <t>翌年度へ繰越
\6,105,000円</t>
  </si>
  <si>
    <t>翌年度へ繰越
\136,281,912円</t>
  </si>
  <si>
    <t>翌年度へ繰越
\247,698,937円</t>
  </si>
  <si>
    <t>翌年度へ繰越
\53,925,600円</t>
  </si>
  <si>
    <t>翌年度へ繰越
\137,872,900円</t>
  </si>
  <si>
    <t>翌年度へ繰越
\442,676,553円</t>
  </si>
  <si>
    <t>翌年度へ繰越
\142,267,592円</t>
  </si>
  <si>
    <t>翌年度へ繰越
\23,650,000円</t>
  </si>
  <si>
    <t>翌年度へ繰越
\51,663,000円</t>
  </si>
  <si>
    <t>翌年度へ繰越
\143,844,187円</t>
  </si>
  <si>
    <t>翌年度へ繰越
\275,177,661円</t>
  </si>
  <si>
    <t>前年度からの繰越
翌年度へ繰越
\18,283,072円</t>
  </si>
  <si>
    <t>前年度からの繰越
翌年度へ繰越
\26,367,500円</t>
  </si>
  <si>
    <t>補助金等の交付額等一覧（最終分）</t>
  </si>
  <si>
    <t>個人等2,272名</t>
  </si>
  <si>
    <t>H25.6.19
H25.6.20</t>
  </si>
  <si>
    <t>H25.8.5
H25.8.6
H25.8.9
H25.8.13
H25.8.19
H25.8.23
H25.8.28
H25.9.2
H25.9.3
H25.9.6
H25.9.11
H25.9.13
H25.9.18
H25.9.19
H25.9.20
H25.9.24
H25.10.2
H25.10.4
H25.10.11
H25.10.28
H25.10.31
H25.11.15
H25.11.18
H25.11.22
H25.11.29
H25.12.3
H25.12.6
H25.12.12
H25.12.13
H26.1.14
H26.1.30
H26.2.12
H26.2.17
H26.2.26
H26.3.5
H26.3.6
H26.3.7
H26.3.11
H26.3.12
H26.3.13
H26.3.14
H26.3.17
H26.3.18
H26.3.19
H26.3.20
H26.3.24
H26.3.25
H26.3.26</t>
  </si>
  <si>
    <t>H24.5.7
H24.10.1
H25.3.8
H25.3.15
H26.3.6</t>
  </si>
  <si>
    <t>H24.4.20
H25.3.8
H25.3.15
H26.3.3</t>
  </si>
  <si>
    <t>H24.5.7
H24.7.18
H25.3.27
H26.3.18</t>
  </si>
  <si>
    <t>H25.4.10
H25.5.30
H25.6.28
H25.10.15
H25.11.20
H25.12.20
H26.1.31
H26.3.3</t>
  </si>
  <si>
    <t>H25.4.30
H25.5.31
H25.9.27
H26.3.6</t>
  </si>
  <si>
    <t>H25.4.30
H25.6.28
H25.8.13
H25.10.4
H26.2.20
H26.3.18</t>
  </si>
  <si>
    <t>H25.3.15
H26.3.5</t>
  </si>
  <si>
    <t>H25.3.15
H26.3.3</t>
  </si>
  <si>
    <t>H25.4.30
H25.5.31
H25.7.31
H25.9.27
H26.3.5</t>
  </si>
  <si>
    <t>H25.4.30
H25.6.28
H25.8.13
H25.10.4
H26.2.20</t>
  </si>
  <si>
    <t>翌年度へ繰越
\224,179,401円</t>
  </si>
  <si>
    <t>H25.10.9
H26.3.20</t>
  </si>
  <si>
    <t>兼升養魚漁業生産組合</t>
  </si>
  <si>
    <t>農地台帳システム整備事業</t>
  </si>
  <si>
    <t>H25.5.24
H26.2.3
H26.2.17</t>
  </si>
  <si>
    <t>H25.5.27
H25..6.12
H25.7.12
H25.8.5
H25.8.9
H25.8.13
H25.8.19
H25.8.23
H25.8.28
H25.9.2
H25.9.3
H25.9.6
H25.9.11
H25.9.18
H25.9.19
H25.9.20
H25.9.24
H25.10.2
H25.10.4
H25.10.7
H25.10.11
H25.10.18
H25.10.28
H25.10.31
H25.11.15
H25.11.18
H25.11.22
H25.11.25
H25.11.27
H25.1129
H25.12.2
H25.12.3
H25.12.4
H25.12.5
H25.12.6
H25.12.9
H25.12.10
H25.12.11
H25.12.12
H25.12.13
H25.12.17
H25.12.18
H25.12.19
H26.1.8
H26.1.10
H26.1.14
H26.1.15
H26.1.17
H26.1.20
H26.1.22</t>
  </si>
  <si>
    <t>H26.1.23
H26.1.24
H26.1.27
H26.1.30
H26.1.31
H262.3
H26.2.4
H26.2.6
H26.2.7
H26.2.12
H26.2.13
H26.2.14
H26.2.17
H26.2.19
H26.2.20
H26.2.21
H26.2.25
H26.2.26
H26.2.28
H26.3.3
H26.3.4
H26.3.5
H26.3.6
H26.3.10
H26.3.11
H26.3.12
H26.3.13
H26.3.14
H263.17
H26.3.18
H26.3.19
H26.3.20
H26.3.24
H26.3.25</t>
  </si>
  <si>
    <t>H25.7.11
H25.10.1
H25.10.3
H25.10.4
H25.12.9
H25.12.17
H25.12.19
H26.1.8
H26.1.16
H26.1.20
H26.1.22
H26.2.7
H26.3.6
H26.3.10
H26.3.11
H26.3.12
H26.3.13
H26.3.14
H26.3.18
H26.3.20
H26.3.24
H26.3.25
H26.3.28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</si>
</sst>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[$-411]ge\.m\.d;@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Accounting"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2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 shrinkToFit="1"/>
    </xf>
    <xf numFmtId="0" fontId="0" fillId="33" borderId="10" xfId="0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57" fontId="0" fillId="33" borderId="10" xfId="0" applyNumberFormat="1" applyFont="1" applyFill="1" applyBorder="1" applyAlignment="1">
      <alignment horizontal="center" vertical="center" shrinkToFit="1"/>
    </xf>
    <xf numFmtId="177" fontId="0" fillId="33" borderId="10" xfId="48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57" fontId="0" fillId="33" borderId="10" xfId="0" applyNumberFormat="1" applyFill="1" applyBorder="1" applyAlignment="1">
      <alignment horizontal="center" vertical="center" shrinkToFit="1"/>
    </xf>
    <xf numFmtId="57" fontId="0" fillId="33" borderId="10" xfId="0" applyNumberForma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/>
    </xf>
    <xf numFmtId="57" fontId="0" fillId="33" borderId="10" xfId="0" applyNumberFormat="1" applyFont="1" applyFill="1" applyBorder="1" applyAlignment="1">
      <alignment vertical="center"/>
    </xf>
    <xf numFmtId="57" fontId="0" fillId="33" borderId="10" xfId="0" applyNumberFormat="1" applyFont="1" applyFill="1" applyBorder="1" applyAlignment="1">
      <alignment horizontal="center" vertical="center"/>
    </xf>
    <xf numFmtId="57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 shrinkToFit="1"/>
    </xf>
    <xf numFmtId="178" fontId="0" fillId="33" borderId="10" xfId="0" applyNumberFormat="1" applyFill="1" applyBorder="1" applyAlignment="1">
      <alignment horizontal="center" vertical="center" shrinkToFit="1"/>
    </xf>
    <xf numFmtId="0" fontId="4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57" fontId="0" fillId="33" borderId="10" xfId="0" applyNumberFormat="1" applyFill="1" applyBorder="1" applyAlignment="1">
      <alignment vertical="center" wrapText="1"/>
    </xf>
    <xf numFmtId="41" fontId="0" fillId="33" borderId="10" xfId="48" applyNumberFormat="1" applyFill="1" applyBorder="1" applyAlignment="1">
      <alignment vertical="center" wrapText="1"/>
    </xf>
    <xf numFmtId="57" fontId="0" fillId="33" borderId="10" xfId="0" applyNumberFormat="1" applyFont="1" applyFill="1" applyBorder="1" applyAlignment="1">
      <alignment horizontal="center" vertical="center" shrinkToFit="1"/>
    </xf>
    <xf numFmtId="57" fontId="0" fillId="33" borderId="10" xfId="0" applyNumberFormat="1" applyFont="1" applyFill="1" applyBorder="1" applyAlignment="1">
      <alignment horizontal="center" vertical="center" wrapText="1" shrinkToFit="1"/>
    </xf>
    <xf numFmtId="38" fontId="0" fillId="33" borderId="10" xfId="48" applyFill="1" applyBorder="1" applyAlignment="1">
      <alignment vertical="center"/>
    </xf>
    <xf numFmtId="41" fontId="0" fillId="33" borderId="0" xfId="0" applyNumberFormat="1" applyFill="1" applyAlignment="1">
      <alignment vertical="center"/>
    </xf>
    <xf numFmtId="41" fontId="43" fillId="33" borderId="0" xfId="0" applyNumberFormat="1" applyFont="1" applyFill="1" applyAlignment="1">
      <alignment vertical="center"/>
    </xf>
    <xf numFmtId="41" fontId="0" fillId="33" borderId="10" xfId="48" applyNumberForma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38" fontId="0" fillId="33" borderId="10" xfId="48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0" fontId="0" fillId="33" borderId="10" xfId="48" applyNumberFormat="1" applyFill="1" applyBorder="1" applyAlignment="1">
      <alignment vertical="center"/>
    </xf>
    <xf numFmtId="41" fontId="0" fillId="33" borderId="10" xfId="48" applyNumberFormat="1" applyFont="1" applyFill="1" applyBorder="1" applyAlignment="1">
      <alignment vertical="center"/>
    </xf>
    <xf numFmtId="177" fontId="0" fillId="33" borderId="10" xfId="48" applyNumberFormat="1" applyFill="1" applyBorder="1" applyAlignment="1">
      <alignment vertical="center"/>
    </xf>
    <xf numFmtId="176" fontId="0" fillId="33" borderId="10" xfId="48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57" fontId="43" fillId="33" borderId="10" xfId="0" applyNumberFormat="1" applyFont="1" applyFill="1" applyBorder="1" applyAlignment="1">
      <alignment horizontal="center" vertical="center" wrapText="1"/>
    </xf>
    <xf numFmtId="177" fontId="43" fillId="33" borderId="10" xfId="48" applyNumberFormat="1" applyFont="1" applyFill="1" applyBorder="1" applyAlignment="1">
      <alignment vertical="center" wrapText="1"/>
    </xf>
    <xf numFmtId="38" fontId="0" fillId="33" borderId="10" xfId="48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vertical="center"/>
    </xf>
    <xf numFmtId="57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177" fontId="0" fillId="33" borderId="10" xfId="48" applyNumberFormat="1" applyFill="1" applyBorder="1" applyAlignment="1">
      <alignment vertical="center"/>
    </xf>
    <xf numFmtId="17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 shrinkToFit="1"/>
    </xf>
    <xf numFmtId="179" fontId="0" fillId="33" borderId="14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 wrapText="1" shrinkToFit="1"/>
    </xf>
    <xf numFmtId="179" fontId="44" fillId="33" borderId="14" xfId="0" applyNumberFormat="1" applyFont="1" applyFill="1" applyBorder="1" applyAlignment="1">
      <alignment vertical="center"/>
    </xf>
    <xf numFmtId="179" fontId="0" fillId="33" borderId="15" xfId="0" applyNumberFormat="1" applyFont="1" applyFill="1" applyBorder="1" applyAlignment="1">
      <alignment vertical="center"/>
    </xf>
    <xf numFmtId="179" fontId="44" fillId="33" borderId="10" xfId="0" applyNumberFormat="1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77" fontId="0" fillId="33" borderId="10" xfId="48" applyNumberForma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38" fontId="7" fillId="33" borderId="10" xfId="48" applyFont="1" applyFill="1" applyBorder="1" applyAlignment="1">
      <alignment vertical="center"/>
    </xf>
    <xf numFmtId="3" fontId="0" fillId="33" borderId="10" xfId="48" applyNumberFormat="1" applyFill="1" applyBorder="1" applyAlignment="1">
      <alignment vertical="center"/>
    </xf>
    <xf numFmtId="179" fontId="0" fillId="33" borderId="11" xfId="0" applyNumberFormat="1" applyFont="1" applyFill="1" applyBorder="1" applyAlignment="1">
      <alignment vertical="center"/>
    </xf>
    <xf numFmtId="179" fontId="44" fillId="33" borderId="11" xfId="0" applyNumberFormat="1" applyFont="1" applyFill="1" applyBorder="1" applyAlignment="1">
      <alignment vertical="center"/>
    </xf>
    <xf numFmtId="179" fontId="0" fillId="33" borderId="0" xfId="0" applyNumberFormat="1" applyFont="1" applyFill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6" xfId="0" applyFill="1" applyBorder="1" applyAlignment="1">
      <alignment vertical="center" wrapText="1" shrinkToFit="1"/>
    </xf>
    <xf numFmtId="0" fontId="0" fillId="33" borderId="15" xfId="0" applyFill="1" applyBorder="1" applyAlignment="1">
      <alignment vertical="center" wrapText="1" shrinkToFit="1"/>
    </xf>
    <xf numFmtId="0" fontId="0" fillId="33" borderId="14" xfId="0" applyFill="1" applyBorder="1" applyAlignment="1">
      <alignment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38" fontId="0" fillId="33" borderId="16" xfId="48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wrapText="1" shrinkToFit="1"/>
    </xf>
    <xf numFmtId="0" fontId="43" fillId="33" borderId="14" xfId="0" applyFont="1" applyFill="1" applyBorder="1" applyAlignment="1">
      <alignment horizontal="center" vertical="center" wrapText="1" shrinkToFit="1"/>
    </xf>
    <xf numFmtId="41" fontId="43" fillId="33" borderId="16" xfId="0" applyNumberFormat="1" applyFont="1" applyFill="1" applyBorder="1" applyAlignment="1">
      <alignment horizontal="center" vertical="center" shrinkToFit="1"/>
    </xf>
    <xf numFmtId="41" fontId="43" fillId="33" borderId="14" xfId="0" applyNumberFormat="1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shrinkToFit="1"/>
    </xf>
    <xf numFmtId="0" fontId="43" fillId="33" borderId="17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5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 shrinkToFit="1"/>
    </xf>
    <xf numFmtId="38" fontId="0" fillId="33" borderId="16" xfId="48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0" fillId="33" borderId="14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top" wrapText="1" shrinkToFit="1"/>
    </xf>
    <xf numFmtId="0" fontId="0" fillId="33" borderId="15" xfId="0" applyFill="1" applyBorder="1" applyAlignment="1">
      <alignment horizontal="center" vertical="top" wrapText="1" shrinkToFit="1"/>
    </xf>
    <xf numFmtId="0" fontId="0" fillId="33" borderId="14" xfId="0" applyFill="1" applyBorder="1" applyAlignment="1">
      <alignment horizontal="center" vertical="top" wrapText="1" shrinkToFit="1"/>
    </xf>
    <xf numFmtId="57" fontId="0" fillId="33" borderId="10" xfId="0" applyNumberForma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3" fillId="33" borderId="0" xfId="0" applyFont="1" applyFill="1" applyAlignment="1">
      <alignment horizontal="right" vertical="center" wrapText="1"/>
    </xf>
    <xf numFmtId="0" fontId="43" fillId="33" borderId="18" xfId="0" applyFont="1" applyFill="1" applyBorder="1" applyAlignment="1">
      <alignment horizontal="center" vertical="center" wrapText="1" shrinkToFit="1"/>
    </xf>
    <xf numFmtId="0" fontId="43" fillId="33" borderId="17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 wrapText="1" shrinkToFit="1"/>
    </xf>
    <xf numFmtId="57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P471"/>
  <sheetViews>
    <sheetView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9.00390625" defaultRowHeight="13.5"/>
  <cols>
    <col min="1" max="1" width="4.00390625" style="24" bestFit="1" customWidth="1"/>
    <col min="2" max="3" width="20.625" style="24" customWidth="1"/>
    <col min="4" max="5" width="20.625" style="23" customWidth="1"/>
    <col min="6" max="6" width="40.625" style="24" customWidth="1"/>
    <col min="7" max="7" width="20.375" style="25" customWidth="1"/>
    <col min="8" max="9" width="20.75390625" style="48" customWidth="1"/>
    <col min="10" max="10" width="20.625" style="23" customWidth="1"/>
    <col min="11" max="13" width="20.625" style="24" customWidth="1"/>
    <col min="14" max="16384" width="9.00390625" style="24" customWidth="1"/>
  </cols>
  <sheetData>
    <row r="2" spans="2:13" ht="24">
      <c r="B2" s="110" t="s">
        <v>580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2:4" ht="21" customHeight="1">
      <c r="B3" s="111" t="s">
        <v>18</v>
      </c>
      <c r="C3" s="111"/>
      <c r="D3" s="22"/>
    </row>
    <row r="4" spans="2:4" ht="21" customHeight="1">
      <c r="B4" s="26" t="s">
        <v>0</v>
      </c>
      <c r="C4" s="111" t="s">
        <v>1</v>
      </c>
      <c r="D4" s="111"/>
    </row>
    <row r="5" spans="2:6" ht="21" customHeight="1">
      <c r="B5" s="27" t="s">
        <v>2</v>
      </c>
      <c r="C5" s="27" t="s">
        <v>19</v>
      </c>
      <c r="D5" s="28"/>
      <c r="F5" s="29"/>
    </row>
    <row r="6" spans="2:3" ht="5.25" customHeight="1">
      <c r="B6" s="30"/>
      <c r="C6" s="30"/>
    </row>
    <row r="7" spans="2:13" ht="24.75" customHeight="1">
      <c r="B7" s="31"/>
      <c r="C7" s="31"/>
      <c r="G7" s="32"/>
      <c r="H7" s="49"/>
      <c r="I7" s="49"/>
      <c r="J7" s="22"/>
      <c r="K7" s="26"/>
      <c r="L7" s="26"/>
      <c r="M7" s="33" t="s">
        <v>3</v>
      </c>
    </row>
    <row r="8" spans="2:13" ht="30" customHeight="1">
      <c r="B8" s="98" t="s">
        <v>4</v>
      </c>
      <c r="C8" s="112" t="s">
        <v>5</v>
      </c>
      <c r="D8" s="112" t="s">
        <v>6</v>
      </c>
      <c r="E8" s="112" t="s">
        <v>7</v>
      </c>
      <c r="F8" s="98" t="s">
        <v>8</v>
      </c>
      <c r="G8" s="100" t="s">
        <v>9</v>
      </c>
      <c r="H8" s="102" t="s">
        <v>10</v>
      </c>
      <c r="I8" s="102" t="s">
        <v>540</v>
      </c>
      <c r="J8" s="104" t="s">
        <v>11</v>
      </c>
      <c r="K8" s="106" t="s">
        <v>12</v>
      </c>
      <c r="L8" s="107"/>
      <c r="M8" s="108" t="s">
        <v>13</v>
      </c>
    </row>
    <row r="9" spans="2:13" ht="30" customHeight="1">
      <c r="B9" s="99"/>
      <c r="C9" s="113"/>
      <c r="D9" s="113"/>
      <c r="E9" s="113"/>
      <c r="F9" s="99"/>
      <c r="G9" s="101"/>
      <c r="H9" s="103"/>
      <c r="I9" s="103"/>
      <c r="J9" s="105"/>
      <c r="K9" s="34" t="s">
        <v>17</v>
      </c>
      <c r="L9" s="34" t="s">
        <v>14</v>
      </c>
      <c r="M9" s="109"/>
    </row>
    <row r="10" spans="2:13" ht="39.75" customHeight="1">
      <c r="B10" s="3" t="s">
        <v>15</v>
      </c>
      <c r="C10" s="2"/>
      <c r="D10" s="2"/>
      <c r="E10" s="2"/>
      <c r="F10" s="3"/>
      <c r="G10" s="35"/>
      <c r="H10" s="50">
        <f>H11+H20+H55+H62+H69+H104+H131+H139+H158+H166+H196+H201+H231+H265+H287+H292+H387+H415+H444+H439</f>
        <v>57743839310</v>
      </c>
      <c r="I10" s="50">
        <f>I11+I20+I55+I62+I69+I104+I131+I139+I158+I166+I196+I201+I231+I265+I287+I292+I387+I415+I444+I439</f>
        <v>51097519111</v>
      </c>
      <c r="J10" s="18"/>
      <c r="K10" s="19"/>
      <c r="L10" s="19"/>
      <c r="M10" s="19"/>
    </row>
    <row r="11" spans="2:13" ht="39.75" customHeight="1">
      <c r="B11" s="8"/>
      <c r="C11" s="14" t="s">
        <v>266</v>
      </c>
      <c r="D11" s="5"/>
      <c r="E11" s="5"/>
      <c r="F11" s="15"/>
      <c r="G11" s="16"/>
      <c r="H11" s="55">
        <f>H12+H16</f>
        <v>99961393</v>
      </c>
      <c r="I11" s="55">
        <f>I12+I16</f>
        <v>99961393</v>
      </c>
      <c r="J11" s="11"/>
      <c r="K11" s="19"/>
      <c r="L11" s="19"/>
      <c r="M11" s="19"/>
    </row>
    <row r="12" spans="2:13" ht="60" customHeight="1">
      <c r="B12" s="8"/>
      <c r="C12" s="5"/>
      <c r="D12" s="79" t="s">
        <v>267</v>
      </c>
      <c r="E12" s="5"/>
      <c r="F12" s="15"/>
      <c r="G12" s="16"/>
      <c r="H12" s="55">
        <f>SUM(H13:H15)</f>
        <v>79930393</v>
      </c>
      <c r="I12" s="55">
        <f>SUM(I13:I15)</f>
        <v>79930393</v>
      </c>
      <c r="J12" s="11"/>
      <c r="K12" s="19"/>
      <c r="L12" s="19"/>
      <c r="M12" s="19"/>
    </row>
    <row r="13" spans="2:13" ht="60" customHeight="1">
      <c r="B13" s="8"/>
      <c r="C13" s="5"/>
      <c r="D13" s="5"/>
      <c r="E13" s="5"/>
      <c r="F13" s="5" t="s">
        <v>268</v>
      </c>
      <c r="G13" s="17" t="s">
        <v>314</v>
      </c>
      <c r="H13" s="55">
        <v>51329375</v>
      </c>
      <c r="I13" s="55">
        <v>51329375</v>
      </c>
      <c r="J13" s="11" t="s">
        <v>141</v>
      </c>
      <c r="K13" s="19"/>
      <c r="L13" s="19"/>
      <c r="M13" s="19"/>
    </row>
    <row r="14" spans="2:13" ht="39.75" customHeight="1">
      <c r="B14" s="8"/>
      <c r="C14" s="5"/>
      <c r="D14" s="1"/>
      <c r="E14" s="5"/>
      <c r="F14" s="5" t="s">
        <v>268</v>
      </c>
      <c r="G14" s="17" t="s">
        <v>312</v>
      </c>
      <c r="H14" s="55">
        <v>17343018</v>
      </c>
      <c r="I14" s="55">
        <v>17343018</v>
      </c>
      <c r="J14" s="11" t="s">
        <v>220</v>
      </c>
      <c r="K14" s="19"/>
      <c r="L14" s="19"/>
      <c r="M14" s="19"/>
    </row>
    <row r="15" spans="2:13" ht="39.75" customHeight="1">
      <c r="B15" s="8"/>
      <c r="C15" s="5"/>
      <c r="D15" s="5"/>
      <c r="E15" s="5"/>
      <c r="F15" s="5" t="s">
        <v>268</v>
      </c>
      <c r="G15" s="65" t="s">
        <v>313</v>
      </c>
      <c r="H15" s="55">
        <v>11258000</v>
      </c>
      <c r="I15" s="55">
        <v>11258000</v>
      </c>
      <c r="J15" s="11" t="s">
        <v>269</v>
      </c>
      <c r="K15" s="19"/>
      <c r="L15" s="19"/>
      <c r="M15" s="19"/>
    </row>
    <row r="16" spans="2:13" ht="39.75" customHeight="1">
      <c r="B16" s="8"/>
      <c r="C16" s="5"/>
      <c r="D16" s="5" t="s">
        <v>270</v>
      </c>
      <c r="E16" s="5"/>
      <c r="F16" s="15"/>
      <c r="G16" s="16"/>
      <c r="H16" s="55">
        <f>SUM(H17:H19)</f>
        <v>20031000</v>
      </c>
      <c r="I16" s="55">
        <f>SUM(I17:I19)</f>
        <v>20031000</v>
      </c>
      <c r="J16" s="11"/>
      <c r="K16" s="19"/>
      <c r="L16" s="19"/>
      <c r="M16" s="19"/>
    </row>
    <row r="17" spans="2:13" ht="39.75" customHeight="1">
      <c r="B17" s="8"/>
      <c r="C17" s="5"/>
      <c r="D17" s="5"/>
      <c r="E17" s="5"/>
      <c r="F17" s="5" t="s">
        <v>271</v>
      </c>
      <c r="G17" s="17" t="s">
        <v>272</v>
      </c>
      <c r="H17" s="55">
        <v>6048000</v>
      </c>
      <c r="I17" s="55">
        <v>6048000</v>
      </c>
      <c r="J17" s="11" t="s">
        <v>220</v>
      </c>
      <c r="K17" s="19"/>
      <c r="L17" s="19"/>
      <c r="M17" s="19"/>
    </row>
    <row r="18" spans="2:13" ht="39.75" customHeight="1">
      <c r="B18" s="11"/>
      <c r="C18" s="5"/>
      <c r="D18" s="5"/>
      <c r="E18" s="5"/>
      <c r="F18" s="5" t="s">
        <v>271</v>
      </c>
      <c r="G18" s="17" t="s">
        <v>273</v>
      </c>
      <c r="H18" s="55">
        <v>8408000</v>
      </c>
      <c r="I18" s="55">
        <v>8408000</v>
      </c>
      <c r="J18" s="11" t="s">
        <v>141</v>
      </c>
      <c r="K18" s="19"/>
      <c r="L18" s="19"/>
      <c r="M18" s="19"/>
    </row>
    <row r="19" spans="2:13" ht="39.75" customHeight="1">
      <c r="B19" s="11"/>
      <c r="C19" s="5"/>
      <c r="D19" s="5"/>
      <c r="E19" s="5"/>
      <c r="F19" s="5" t="s">
        <v>271</v>
      </c>
      <c r="G19" s="17" t="s">
        <v>273</v>
      </c>
      <c r="H19" s="55">
        <v>5575000</v>
      </c>
      <c r="I19" s="55">
        <v>5575000</v>
      </c>
      <c r="J19" s="11" t="s">
        <v>269</v>
      </c>
      <c r="K19" s="19"/>
      <c r="L19" s="19"/>
      <c r="M19" s="19"/>
    </row>
    <row r="20" spans="2:13" ht="39.75" customHeight="1">
      <c r="B20" s="3"/>
      <c r="C20" s="2" t="s">
        <v>208</v>
      </c>
      <c r="D20" s="2"/>
      <c r="E20" s="2"/>
      <c r="F20" s="3"/>
      <c r="G20" s="35"/>
      <c r="H20" s="50">
        <f>SUM(H21+H49+H53)</f>
        <v>2264726195</v>
      </c>
      <c r="I20" s="50">
        <f>SUM(I21+I49+I53)</f>
        <v>2241007534</v>
      </c>
      <c r="J20" s="19"/>
      <c r="K20" s="19"/>
      <c r="L20" s="19"/>
      <c r="M20" s="19"/>
    </row>
    <row r="21" spans="2:13" ht="60" customHeight="1">
      <c r="B21" s="3"/>
      <c r="C21" s="3"/>
      <c r="D21" s="2" t="s">
        <v>207</v>
      </c>
      <c r="E21" s="2"/>
      <c r="F21" s="2"/>
      <c r="G21" s="36"/>
      <c r="H21" s="50">
        <f>SUM(H22:H48)</f>
        <v>2121032195</v>
      </c>
      <c r="I21" s="50">
        <f>SUM(I22:I48)</f>
        <v>2097313534</v>
      </c>
      <c r="J21" s="2"/>
      <c r="K21" s="19"/>
      <c r="L21" s="19"/>
      <c r="M21" s="19"/>
    </row>
    <row r="22" spans="2:13" ht="60" customHeight="1">
      <c r="B22" s="3"/>
      <c r="C22" s="3"/>
      <c r="D22" s="2"/>
      <c r="E22" s="2"/>
      <c r="F22" s="3" t="s">
        <v>199</v>
      </c>
      <c r="G22" s="37" t="s">
        <v>488</v>
      </c>
      <c r="H22" s="47">
        <v>749000</v>
      </c>
      <c r="I22" s="76">
        <v>535100</v>
      </c>
      <c r="J22" s="2" t="s">
        <v>489</v>
      </c>
      <c r="K22" s="19"/>
      <c r="L22" s="19"/>
      <c r="M22" s="19"/>
    </row>
    <row r="23" spans="2:13" ht="39.75" customHeight="1">
      <c r="B23" s="3"/>
      <c r="C23" s="3"/>
      <c r="D23" s="2"/>
      <c r="E23" s="2"/>
      <c r="F23" s="3" t="s">
        <v>199</v>
      </c>
      <c r="G23" s="37" t="s">
        <v>490</v>
      </c>
      <c r="H23" s="47">
        <v>695965</v>
      </c>
      <c r="I23" s="76">
        <v>616137</v>
      </c>
      <c r="J23" s="2" t="s">
        <v>206</v>
      </c>
      <c r="K23" s="19"/>
      <c r="L23" s="19"/>
      <c r="M23" s="19"/>
    </row>
    <row r="24" spans="2:13" ht="39.75" customHeight="1">
      <c r="B24" s="3"/>
      <c r="C24" s="3"/>
      <c r="D24" s="2"/>
      <c r="E24" s="2"/>
      <c r="F24" s="3" t="s">
        <v>199</v>
      </c>
      <c r="G24" s="20" t="s">
        <v>491</v>
      </c>
      <c r="H24" s="47">
        <v>251000</v>
      </c>
      <c r="I24" s="76">
        <v>250652</v>
      </c>
      <c r="J24" s="2" t="s">
        <v>205</v>
      </c>
      <c r="K24" s="19"/>
      <c r="L24" s="19"/>
      <c r="M24" s="19"/>
    </row>
    <row r="25" spans="2:13" ht="39.75" customHeight="1">
      <c r="B25" s="3"/>
      <c r="C25" s="3"/>
      <c r="D25" s="2"/>
      <c r="E25" s="2"/>
      <c r="F25" s="3" t="s">
        <v>199</v>
      </c>
      <c r="G25" s="37" t="s">
        <v>492</v>
      </c>
      <c r="H25" s="57">
        <v>5558000</v>
      </c>
      <c r="I25" s="57">
        <v>5558000</v>
      </c>
      <c r="J25" s="2" t="s">
        <v>37</v>
      </c>
      <c r="K25" s="19"/>
      <c r="L25" s="19"/>
      <c r="M25" s="19"/>
    </row>
    <row r="26" spans="2:13" ht="39.75" customHeight="1">
      <c r="B26" s="3"/>
      <c r="C26" s="3"/>
      <c r="D26" s="2"/>
      <c r="E26" s="2"/>
      <c r="F26" s="3" t="s">
        <v>199</v>
      </c>
      <c r="G26" s="37" t="s">
        <v>493</v>
      </c>
      <c r="H26" s="57">
        <v>10190000</v>
      </c>
      <c r="I26" s="76">
        <v>9541012</v>
      </c>
      <c r="J26" s="2" t="s">
        <v>49</v>
      </c>
      <c r="K26" s="19"/>
      <c r="L26" s="19"/>
      <c r="M26" s="19"/>
    </row>
    <row r="27" spans="2:13" ht="39.75" customHeight="1">
      <c r="B27" s="3"/>
      <c r="C27" s="3"/>
      <c r="D27" s="2"/>
      <c r="E27" s="2"/>
      <c r="F27" s="3" t="s">
        <v>199</v>
      </c>
      <c r="G27" s="37" t="s">
        <v>494</v>
      </c>
      <c r="H27" s="47">
        <v>432360</v>
      </c>
      <c r="I27" s="47">
        <v>432360</v>
      </c>
      <c r="J27" s="2" t="s">
        <v>202</v>
      </c>
      <c r="K27" s="19"/>
      <c r="L27" s="19"/>
      <c r="M27" s="19"/>
    </row>
    <row r="28" spans="2:13" ht="39.75" customHeight="1">
      <c r="B28" s="3"/>
      <c r="C28" s="3"/>
      <c r="D28" s="2"/>
      <c r="E28" s="2"/>
      <c r="F28" s="3" t="s">
        <v>199</v>
      </c>
      <c r="G28" s="37" t="s">
        <v>495</v>
      </c>
      <c r="H28" s="47">
        <v>2358000</v>
      </c>
      <c r="I28" s="76">
        <v>1914791</v>
      </c>
      <c r="J28" s="2" t="s">
        <v>26</v>
      </c>
      <c r="K28" s="19"/>
      <c r="L28" s="19"/>
      <c r="M28" s="19"/>
    </row>
    <row r="29" spans="2:13" ht="39.75" customHeight="1">
      <c r="B29" s="3"/>
      <c r="C29" s="3"/>
      <c r="D29" s="2"/>
      <c r="E29" s="2"/>
      <c r="F29" s="3" t="s">
        <v>199</v>
      </c>
      <c r="G29" s="37" t="s">
        <v>496</v>
      </c>
      <c r="H29" s="47">
        <v>3600000</v>
      </c>
      <c r="I29" s="47">
        <v>3600000</v>
      </c>
      <c r="J29" s="2" t="s">
        <v>204</v>
      </c>
      <c r="K29" s="19"/>
      <c r="L29" s="19"/>
      <c r="M29" s="19"/>
    </row>
    <row r="30" spans="2:13" ht="39.75" customHeight="1">
      <c r="B30" s="3"/>
      <c r="C30" s="3"/>
      <c r="D30" s="2"/>
      <c r="E30" s="2"/>
      <c r="F30" s="3" t="s">
        <v>199</v>
      </c>
      <c r="G30" s="37" t="s">
        <v>497</v>
      </c>
      <c r="H30" s="47">
        <v>5351900</v>
      </c>
      <c r="I30" s="47">
        <v>5351900</v>
      </c>
      <c r="J30" s="2" t="s">
        <v>203</v>
      </c>
      <c r="K30" s="19"/>
      <c r="L30" s="19"/>
      <c r="M30" s="19"/>
    </row>
    <row r="31" spans="2:13" ht="39.75" customHeight="1">
      <c r="B31" s="3"/>
      <c r="C31" s="3"/>
      <c r="D31" s="2"/>
      <c r="E31" s="2"/>
      <c r="F31" s="3" t="s">
        <v>199</v>
      </c>
      <c r="G31" s="37" t="s">
        <v>498</v>
      </c>
      <c r="H31" s="47">
        <v>2187940</v>
      </c>
      <c r="I31" s="76">
        <v>2173894</v>
      </c>
      <c r="J31" s="2" t="s">
        <v>200</v>
      </c>
      <c r="K31" s="19"/>
      <c r="L31" s="19"/>
      <c r="M31" s="19"/>
    </row>
    <row r="32" spans="2:13" ht="39.75" customHeight="1">
      <c r="B32" s="3"/>
      <c r="C32" s="3"/>
      <c r="D32" s="2"/>
      <c r="E32" s="2"/>
      <c r="F32" s="3" t="s">
        <v>199</v>
      </c>
      <c r="G32" s="20" t="s">
        <v>499</v>
      </c>
      <c r="H32" s="47">
        <v>29702300</v>
      </c>
      <c r="I32" s="80">
        <v>29702300</v>
      </c>
      <c r="J32" s="2" t="s">
        <v>201</v>
      </c>
      <c r="K32" s="19"/>
      <c r="L32" s="19"/>
      <c r="M32" s="19"/>
    </row>
    <row r="33" spans="2:13" ht="39.75" customHeight="1">
      <c r="B33" s="3"/>
      <c r="C33" s="3"/>
      <c r="D33" s="2"/>
      <c r="E33" s="2"/>
      <c r="F33" s="3" t="s">
        <v>199</v>
      </c>
      <c r="G33" s="21">
        <v>41526</v>
      </c>
      <c r="H33" s="47">
        <v>472660</v>
      </c>
      <c r="I33" s="76">
        <v>353820</v>
      </c>
      <c r="J33" s="2" t="s">
        <v>37</v>
      </c>
      <c r="K33" s="19"/>
      <c r="L33" s="19"/>
      <c r="M33" s="19"/>
    </row>
    <row r="34" spans="2:13" ht="39.75" customHeight="1">
      <c r="B34" s="3"/>
      <c r="C34" s="3"/>
      <c r="D34" s="2"/>
      <c r="E34" s="2"/>
      <c r="F34" s="3" t="s">
        <v>199</v>
      </c>
      <c r="G34" s="21">
        <v>41691</v>
      </c>
      <c r="H34" s="47">
        <v>14840000</v>
      </c>
      <c r="I34" s="47">
        <v>14840000</v>
      </c>
      <c r="J34" s="2" t="s">
        <v>500</v>
      </c>
      <c r="K34" s="19"/>
      <c r="L34" s="19"/>
      <c r="M34" s="19"/>
    </row>
    <row r="35" spans="2:13" ht="39.75" customHeight="1">
      <c r="B35" s="3"/>
      <c r="C35" s="3"/>
      <c r="D35" s="2"/>
      <c r="E35" s="2"/>
      <c r="F35" s="3" t="s">
        <v>199</v>
      </c>
      <c r="G35" s="21">
        <v>41691</v>
      </c>
      <c r="H35" s="47">
        <v>5659000</v>
      </c>
      <c r="I35" s="76">
        <v>5245000</v>
      </c>
      <c r="J35" s="2" t="s">
        <v>501</v>
      </c>
      <c r="K35" s="19"/>
      <c r="L35" s="19"/>
      <c r="M35" s="19"/>
    </row>
    <row r="36" spans="2:13" ht="39.75" customHeight="1">
      <c r="B36" s="3"/>
      <c r="C36" s="3"/>
      <c r="D36" s="2"/>
      <c r="E36" s="2"/>
      <c r="F36" s="3" t="s">
        <v>502</v>
      </c>
      <c r="G36" s="39" t="s">
        <v>503</v>
      </c>
      <c r="H36" s="47">
        <v>58222080</v>
      </c>
      <c r="I36" s="76">
        <v>42198318</v>
      </c>
      <c r="J36" s="2" t="s">
        <v>504</v>
      </c>
      <c r="K36" s="19"/>
      <c r="L36" s="19"/>
      <c r="M36" s="19"/>
    </row>
    <row r="37" spans="2:13" ht="39.75" customHeight="1">
      <c r="B37" s="3"/>
      <c r="C37" s="3"/>
      <c r="D37" s="2"/>
      <c r="E37" s="2"/>
      <c r="F37" s="3" t="s">
        <v>502</v>
      </c>
      <c r="G37" s="39" t="s">
        <v>505</v>
      </c>
      <c r="H37" s="47">
        <v>12192440</v>
      </c>
      <c r="I37" s="76">
        <v>8168480</v>
      </c>
      <c r="J37" s="2" t="s">
        <v>506</v>
      </c>
      <c r="K37" s="19"/>
      <c r="L37" s="19"/>
      <c r="M37" s="19"/>
    </row>
    <row r="38" spans="2:13" ht="39.75" customHeight="1">
      <c r="B38" s="3"/>
      <c r="C38" s="3"/>
      <c r="D38" s="2"/>
      <c r="E38" s="2"/>
      <c r="F38" s="3" t="s">
        <v>502</v>
      </c>
      <c r="G38" s="39">
        <v>41563</v>
      </c>
      <c r="H38" s="47">
        <v>7460000</v>
      </c>
      <c r="I38" s="76">
        <v>5762220</v>
      </c>
      <c r="J38" s="2" t="s">
        <v>507</v>
      </c>
      <c r="K38" s="19"/>
      <c r="L38" s="19"/>
      <c r="M38" s="19"/>
    </row>
    <row r="39" spans="2:13" ht="39.75" customHeight="1">
      <c r="B39" s="3"/>
      <c r="C39" s="3"/>
      <c r="D39" s="2"/>
      <c r="E39" s="2"/>
      <c r="F39" s="3" t="s">
        <v>502</v>
      </c>
      <c r="G39" s="39">
        <v>41563</v>
      </c>
      <c r="H39" s="47">
        <v>193550</v>
      </c>
      <c r="I39" s="47">
        <v>193550</v>
      </c>
      <c r="J39" s="2" t="s">
        <v>508</v>
      </c>
      <c r="K39" s="19"/>
      <c r="L39" s="19"/>
      <c r="M39" s="19"/>
    </row>
    <row r="40" spans="2:13" ht="39.75" customHeight="1">
      <c r="B40" s="3"/>
      <c r="C40" s="3"/>
      <c r="D40" s="2"/>
      <c r="E40" s="2"/>
      <c r="F40" s="3" t="s">
        <v>509</v>
      </c>
      <c r="G40" s="21">
        <v>41446</v>
      </c>
      <c r="H40" s="47">
        <v>490000</v>
      </c>
      <c r="I40" s="76">
        <v>485000</v>
      </c>
      <c r="J40" s="2" t="s">
        <v>309</v>
      </c>
      <c r="K40" s="19"/>
      <c r="L40" s="19"/>
      <c r="M40" s="19"/>
    </row>
    <row r="41" spans="2:13" ht="39.75" customHeight="1">
      <c r="B41" s="3"/>
      <c r="C41" s="3"/>
      <c r="D41" s="2"/>
      <c r="E41" s="2"/>
      <c r="F41" s="3" t="s">
        <v>509</v>
      </c>
      <c r="G41" s="21">
        <v>41446</v>
      </c>
      <c r="H41" s="47">
        <v>1490000</v>
      </c>
      <c r="I41" s="76">
        <v>1455000</v>
      </c>
      <c r="J41" s="2" t="s">
        <v>198</v>
      </c>
      <c r="K41" s="19"/>
      <c r="L41" s="19"/>
      <c r="M41" s="19"/>
    </row>
    <row r="42" spans="2:13" ht="39.75" customHeight="1">
      <c r="B42" s="3"/>
      <c r="C42" s="3"/>
      <c r="D42" s="2"/>
      <c r="E42" s="2"/>
      <c r="F42" s="3" t="s">
        <v>509</v>
      </c>
      <c r="G42" s="21">
        <v>41446</v>
      </c>
      <c r="H42" s="56">
        <v>1071000</v>
      </c>
      <c r="I42" s="56">
        <v>1071000</v>
      </c>
      <c r="J42" s="2" t="s">
        <v>198</v>
      </c>
      <c r="K42" s="19"/>
      <c r="L42" s="19"/>
      <c r="M42" s="19"/>
    </row>
    <row r="43" spans="2:13" ht="39.75" customHeight="1">
      <c r="B43" s="3"/>
      <c r="C43" s="3"/>
      <c r="D43" s="2"/>
      <c r="E43" s="2"/>
      <c r="F43" s="3" t="s">
        <v>509</v>
      </c>
      <c r="G43" s="21">
        <v>41453</v>
      </c>
      <c r="H43" s="47">
        <v>105000</v>
      </c>
      <c r="I43" s="47">
        <v>105000</v>
      </c>
      <c r="J43" s="2" t="s">
        <v>196</v>
      </c>
      <c r="K43" s="19"/>
      <c r="L43" s="19"/>
      <c r="M43" s="19"/>
    </row>
    <row r="44" spans="2:13" ht="39.75" customHeight="1">
      <c r="B44" s="3"/>
      <c r="C44" s="3"/>
      <c r="D44" s="2"/>
      <c r="E44" s="2"/>
      <c r="F44" s="3" t="s">
        <v>509</v>
      </c>
      <c r="G44" s="21">
        <v>41453</v>
      </c>
      <c r="H44" s="56">
        <v>325000</v>
      </c>
      <c r="I44" s="56">
        <v>325000</v>
      </c>
      <c r="J44" s="18" t="s">
        <v>197</v>
      </c>
      <c r="K44" s="19"/>
      <c r="L44" s="19"/>
      <c r="M44" s="19"/>
    </row>
    <row r="45" spans="2:13" ht="39.75" customHeight="1">
      <c r="B45" s="3"/>
      <c r="C45" s="3"/>
      <c r="D45" s="2"/>
      <c r="E45" s="2"/>
      <c r="F45" s="3" t="s">
        <v>509</v>
      </c>
      <c r="G45" s="21">
        <v>41453</v>
      </c>
      <c r="H45" s="56">
        <v>222000</v>
      </c>
      <c r="I45" s="56">
        <v>222000</v>
      </c>
      <c r="J45" s="2" t="s">
        <v>196</v>
      </c>
      <c r="K45" s="19"/>
      <c r="L45" s="19"/>
      <c r="M45" s="19"/>
    </row>
    <row r="46" spans="2:13" ht="39.75" customHeight="1">
      <c r="B46" s="3"/>
      <c r="C46" s="3"/>
      <c r="D46" s="2"/>
      <c r="E46" s="2"/>
      <c r="F46" s="3" t="s">
        <v>510</v>
      </c>
      <c r="G46" s="39">
        <v>41710</v>
      </c>
      <c r="H46" s="47">
        <v>584761000</v>
      </c>
      <c r="I46" s="47">
        <v>584761000</v>
      </c>
      <c r="J46" s="2" t="s">
        <v>32</v>
      </c>
      <c r="K46" s="19"/>
      <c r="L46" s="19"/>
      <c r="M46" s="19"/>
    </row>
    <row r="47" spans="2:13" ht="39.75" customHeight="1">
      <c r="B47" s="3"/>
      <c r="C47" s="3"/>
      <c r="D47" s="2"/>
      <c r="E47" s="2"/>
      <c r="F47" s="3" t="s">
        <v>510</v>
      </c>
      <c r="G47" s="39">
        <v>41710</v>
      </c>
      <c r="H47" s="47">
        <v>771950000</v>
      </c>
      <c r="I47" s="47">
        <v>771950000</v>
      </c>
      <c r="J47" s="2" t="s">
        <v>511</v>
      </c>
      <c r="K47" s="19"/>
      <c r="L47" s="19"/>
      <c r="M47" s="19"/>
    </row>
    <row r="48" spans="2:13" ht="39.75" customHeight="1">
      <c r="B48" s="3"/>
      <c r="C48" s="3"/>
      <c r="D48" s="2"/>
      <c r="E48" s="2"/>
      <c r="F48" s="3" t="s">
        <v>510</v>
      </c>
      <c r="G48" s="39">
        <v>41710</v>
      </c>
      <c r="H48" s="47">
        <v>600502000</v>
      </c>
      <c r="I48" s="47">
        <v>600502000</v>
      </c>
      <c r="J48" s="2" t="s">
        <v>31</v>
      </c>
      <c r="K48" s="19"/>
      <c r="L48" s="19"/>
      <c r="M48" s="19"/>
    </row>
    <row r="49" spans="2:13" ht="39.75" customHeight="1">
      <c r="B49" s="3"/>
      <c r="C49" s="3"/>
      <c r="D49" s="2" t="s">
        <v>195</v>
      </c>
      <c r="E49" s="2"/>
      <c r="F49" s="3"/>
      <c r="G49" s="21"/>
      <c r="H49" s="50">
        <f>SUM(H50:H52)</f>
        <v>139104000</v>
      </c>
      <c r="I49" s="50">
        <f>SUM(I50:I52)</f>
        <v>139104000</v>
      </c>
      <c r="J49" s="19"/>
      <c r="K49" s="19"/>
      <c r="L49" s="19"/>
      <c r="M49" s="19"/>
    </row>
    <row r="50" spans="2:13" ht="39.75" customHeight="1">
      <c r="B50" s="3"/>
      <c r="C50" s="3"/>
      <c r="D50" s="2"/>
      <c r="E50" s="2"/>
      <c r="F50" s="2" t="s">
        <v>194</v>
      </c>
      <c r="G50" s="21">
        <v>41438</v>
      </c>
      <c r="H50" s="50">
        <v>61767000</v>
      </c>
      <c r="I50" s="50">
        <v>61767000</v>
      </c>
      <c r="J50" s="2" t="s">
        <v>49</v>
      </c>
      <c r="K50" s="19"/>
      <c r="L50" s="19"/>
      <c r="M50" s="19"/>
    </row>
    <row r="51" spans="2:13" ht="39.75" customHeight="1">
      <c r="B51" s="3"/>
      <c r="C51" s="3"/>
      <c r="D51" s="2"/>
      <c r="E51" s="2"/>
      <c r="F51" s="2" t="s">
        <v>194</v>
      </c>
      <c r="G51" s="21">
        <v>41438</v>
      </c>
      <c r="H51" s="50">
        <v>37784000</v>
      </c>
      <c r="I51" s="50">
        <v>37784000</v>
      </c>
      <c r="J51" s="2" t="s">
        <v>37</v>
      </c>
      <c r="K51" s="19"/>
      <c r="L51" s="19"/>
      <c r="M51" s="19"/>
    </row>
    <row r="52" spans="2:13" ht="39.75" customHeight="1">
      <c r="B52" s="3"/>
      <c r="C52" s="3"/>
      <c r="D52" s="2"/>
      <c r="E52" s="2"/>
      <c r="F52" s="2" t="s">
        <v>194</v>
      </c>
      <c r="G52" s="21">
        <v>41439</v>
      </c>
      <c r="H52" s="50">
        <v>39553000</v>
      </c>
      <c r="I52" s="50">
        <v>39553000</v>
      </c>
      <c r="J52" s="2" t="s">
        <v>26</v>
      </c>
      <c r="K52" s="19"/>
      <c r="L52" s="19"/>
      <c r="M52" s="19"/>
    </row>
    <row r="53" spans="2:13" ht="39.75" customHeight="1">
      <c r="B53" s="3"/>
      <c r="C53" s="3"/>
      <c r="D53" s="2" t="s">
        <v>512</v>
      </c>
      <c r="E53" s="2"/>
      <c r="F53" s="2"/>
      <c r="G53" s="21"/>
      <c r="H53" s="57">
        <f>SUM(H54)</f>
        <v>4590000</v>
      </c>
      <c r="I53" s="57">
        <f>SUM(I54)</f>
        <v>4590000</v>
      </c>
      <c r="J53" s="2"/>
      <c r="K53" s="19"/>
      <c r="L53" s="19"/>
      <c r="M53" s="19"/>
    </row>
    <row r="54" spans="2:13" ht="39.75" customHeight="1">
      <c r="B54" s="3"/>
      <c r="C54" s="3"/>
      <c r="D54" s="2"/>
      <c r="E54" s="2"/>
      <c r="F54" s="2" t="s">
        <v>513</v>
      </c>
      <c r="G54" s="39" t="s">
        <v>514</v>
      </c>
      <c r="H54" s="57">
        <v>4590000</v>
      </c>
      <c r="I54" s="57">
        <v>4590000</v>
      </c>
      <c r="J54" s="2" t="s">
        <v>515</v>
      </c>
      <c r="K54" s="19"/>
      <c r="L54" s="19"/>
      <c r="M54" s="19"/>
    </row>
    <row r="55" spans="2:13" ht="60" customHeight="1">
      <c r="B55" s="3"/>
      <c r="C55" s="2" t="s">
        <v>193</v>
      </c>
      <c r="D55" s="2"/>
      <c r="E55" s="2"/>
      <c r="F55" s="2"/>
      <c r="G55" s="21"/>
      <c r="H55" s="50">
        <f>SUM(H56+H58+H60)</f>
        <v>19238960</v>
      </c>
      <c r="I55" s="50">
        <f>SUM(I56+I58+I60)</f>
        <v>19238960</v>
      </c>
      <c r="J55" s="2"/>
      <c r="K55" s="19"/>
      <c r="L55" s="19"/>
      <c r="M55" s="19"/>
    </row>
    <row r="56" spans="2:13" ht="60" customHeight="1">
      <c r="B56" s="3"/>
      <c r="C56" s="2"/>
      <c r="D56" s="2" t="s">
        <v>192</v>
      </c>
      <c r="E56" s="2"/>
      <c r="F56" s="18"/>
      <c r="G56" s="21"/>
      <c r="H56" s="50">
        <f>SUBTOTAL(9,H57)</f>
        <v>3750000</v>
      </c>
      <c r="I56" s="50">
        <f>SUBTOTAL(9,I57)</f>
        <v>3750000</v>
      </c>
      <c r="J56" s="2"/>
      <c r="K56" s="19"/>
      <c r="L56" s="19"/>
      <c r="M56" s="19"/>
    </row>
    <row r="57" spans="2:15" ht="39.75" customHeight="1">
      <c r="B57" s="3"/>
      <c r="C57" s="3"/>
      <c r="D57" s="2"/>
      <c r="E57" s="2"/>
      <c r="F57" s="3" t="s">
        <v>191</v>
      </c>
      <c r="G57" s="21">
        <v>41458</v>
      </c>
      <c r="H57" s="50">
        <v>3750000</v>
      </c>
      <c r="I57" s="50">
        <v>3750000</v>
      </c>
      <c r="J57" s="2" t="s">
        <v>190</v>
      </c>
      <c r="K57" s="19"/>
      <c r="L57" s="19"/>
      <c r="M57" s="19"/>
      <c r="O57" s="66"/>
    </row>
    <row r="58" spans="2:13" ht="39.75" customHeight="1">
      <c r="B58" s="3"/>
      <c r="C58" s="3"/>
      <c r="D58" s="2" t="s">
        <v>189</v>
      </c>
      <c r="E58" s="2"/>
      <c r="F58" s="3"/>
      <c r="G58" s="21"/>
      <c r="H58" s="50">
        <f>SUM(H59)</f>
        <v>5388800</v>
      </c>
      <c r="I58" s="50">
        <f>SUM(I59)</f>
        <v>5388800</v>
      </c>
      <c r="J58" s="2"/>
      <c r="K58" s="19"/>
      <c r="L58" s="19"/>
      <c r="M58" s="19"/>
    </row>
    <row r="59" spans="2:13" ht="39.75" customHeight="1">
      <c r="B59" s="3"/>
      <c r="C59" s="3"/>
      <c r="D59" s="2"/>
      <c r="E59" s="2"/>
      <c r="F59" s="3" t="s">
        <v>188</v>
      </c>
      <c r="G59" s="21">
        <v>41453</v>
      </c>
      <c r="H59" s="50">
        <v>5388800</v>
      </c>
      <c r="I59" s="50">
        <v>5388800</v>
      </c>
      <c r="J59" s="2" t="s">
        <v>187</v>
      </c>
      <c r="K59" s="19"/>
      <c r="L59" s="19"/>
      <c r="M59" s="19"/>
    </row>
    <row r="60" spans="2:13" ht="39.75" customHeight="1">
      <c r="B60" s="3"/>
      <c r="C60" s="3"/>
      <c r="D60" s="2" t="s">
        <v>516</v>
      </c>
      <c r="E60" s="2"/>
      <c r="F60" s="3"/>
      <c r="G60" s="21"/>
      <c r="H60" s="57">
        <f>SUM(H61)</f>
        <v>10100160</v>
      </c>
      <c r="I60" s="57">
        <f>SUM(I61)</f>
        <v>10100160</v>
      </c>
      <c r="J60" s="2"/>
      <c r="K60" s="19"/>
      <c r="L60" s="19"/>
      <c r="M60" s="19"/>
    </row>
    <row r="61" spans="2:13" ht="39.75" customHeight="1">
      <c r="B61" s="3"/>
      <c r="C61" s="3"/>
      <c r="D61" s="2"/>
      <c r="E61" s="2"/>
      <c r="F61" s="3" t="s">
        <v>517</v>
      </c>
      <c r="G61" s="21">
        <v>41708</v>
      </c>
      <c r="H61" s="57">
        <v>10100160</v>
      </c>
      <c r="I61" s="57">
        <v>10100160</v>
      </c>
      <c r="J61" s="2" t="s">
        <v>518</v>
      </c>
      <c r="K61" s="19"/>
      <c r="L61" s="19"/>
      <c r="M61" s="19"/>
    </row>
    <row r="62" spans="2:13" ht="39.75" customHeight="1">
      <c r="B62" s="3"/>
      <c r="C62" s="2" t="s">
        <v>186</v>
      </c>
      <c r="D62" s="2"/>
      <c r="E62" s="2"/>
      <c r="F62" s="18"/>
      <c r="G62" s="38"/>
      <c r="H62" s="50">
        <f>SUM(H63)</f>
        <v>448745000</v>
      </c>
      <c r="I62" s="50">
        <f>SUM(I63)</f>
        <v>448745000</v>
      </c>
      <c r="J62" s="2"/>
      <c r="K62" s="19"/>
      <c r="L62" s="19"/>
      <c r="M62" s="19"/>
    </row>
    <row r="63" spans="2:13" ht="39.75" customHeight="1">
      <c r="B63" s="3"/>
      <c r="C63" s="2"/>
      <c r="D63" s="2" t="s">
        <v>185</v>
      </c>
      <c r="E63" s="2"/>
      <c r="F63" s="18"/>
      <c r="G63" s="38"/>
      <c r="H63" s="51">
        <f>SUM(H64:H68)</f>
        <v>448745000</v>
      </c>
      <c r="I63" s="51">
        <f>SUM(I64:I68)</f>
        <v>448745000</v>
      </c>
      <c r="J63" s="2"/>
      <c r="K63" s="19"/>
      <c r="L63" s="19"/>
      <c r="M63" s="19"/>
    </row>
    <row r="64" spans="2:13" ht="60" customHeight="1">
      <c r="B64" s="3"/>
      <c r="C64" s="2"/>
      <c r="D64" s="2"/>
      <c r="E64" s="2"/>
      <c r="F64" s="19" t="s">
        <v>519</v>
      </c>
      <c r="G64" s="39" t="s">
        <v>520</v>
      </c>
      <c r="H64" s="57">
        <v>116557000</v>
      </c>
      <c r="I64" s="57">
        <v>116557000</v>
      </c>
      <c r="J64" s="2" t="s">
        <v>26</v>
      </c>
      <c r="K64" s="19"/>
      <c r="L64" s="19"/>
      <c r="M64" s="19"/>
    </row>
    <row r="65" spans="2:13" ht="39.75" customHeight="1">
      <c r="B65" s="3"/>
      <c r="C65" s="3"/>
      <c r="D65" s="2"/>
      <c r="E65" s="2"/>
      <c r="F65" s="19" t="s">
        <v>519</v>
      </c>
      <c r="G65" s="39" t="s">
        <v>521</v>
      </c>
      <c r="H65" s="57">
        <v>116049000</v>
      </c>
      <c r="I65" s="57">
        <v>116049000</v>
      </c>
      <c r="J65" s="2" t="s">
        <v>37</v>
      </c>
      <c r="K65" s="19"/>
      <c r="L65" s="19"/>
      <c r="M65" s="19"/>
    </row>
    <row r="66" spans="2:13" ht="39.75" customHeight="1">
      <c r="B66" s="3"/>
      <c r="C66" s="2"/>
      <c r="D66" s="2"/>
      <c r="E66" s="2"/>
      <c r="F66" s="19" t="s">
        <v>519</v>
      </c>
      <c r="G66" s="39" t="s">
        <v>522</v>
      </c>
      <c r="H66" s="57">
        <v>26750000</v>
      </c>
      <c r="I66" s="57">
        <v>26750000</v>
      </c>
      <c r="J66" s="2" t="s">
        <v>37</v>
      </c>
      <c r="K66" s="19"/>
      <c r="L66" s="19"/>
      <c r="M66" s="19"/>
    </row>
    <row r="67" spans="2:13" ht="39.75" customHeight="1">
      <c r="B67" s="3"/>
      <c r="C67" s="2"/>
      <c r="D67" s="2"/>
      <c r="E67" s="2"/>
      <c r="F67" s="19" t="s">
        <v>519</v>
      </c>
      <c r="G67" s="39" t="s">
        <v>523</v>
      </c>
      <c r="H67" s="57">
        <v>142590000</v>
      </c>
      <c r="I67" s="57">
        <v>142590000</v>
      </c>
      <c r="J67" s="2" t="s">
        <v>26</v>
      </c>
      <c r="K67" s="19"/>
      <c r="L67" s="19"/>
      <c r="M67" s="19"/>
    </row>
    <row r="68" spans="2:13" ht="39.75" customHeight="1">
      <c r="B68" s="3"/>
      <c r="C68" s="2"/>
      <c r="D68" s="2"/>
      <c r="E68" s="2"/>
      <c r="F68" s="19" t="s">
        <v>519</v>
      </c>
      <c r="G68" s="39" t="s">
        <v>524</v>
      </c>
      <c r="H68" s="57">
        <v>46799000</v>
      </c>
      <c r="I68" s="57">
        <v>46799000</v>
      </c>
      <c r="J68" s="2" t="s">
        <v>49</v>
      </c>
      <c r="K68" s="19"/>
      <c r="L68" s="19"/>
      <c r="M68" s="19"/>
    </row>
    <row r="69" spans="2:13" ht="39.75" customHeight="1">
      <c r="B69" s="3"/>
      <c r="C69" s="3" t="s">
        <v>265</v>
      </c>
      <c r="D69" s="2"/>
      <c r="E69" s="2"/>
      <c r="F69" s="3"/>
      <c r="G69" s="35"/>
      <c r="H69" s="50">
        <f>+H70+H76+H80+H97+H99</f>
        <v>18925668780</v>
      </c>
      <c r="I69" s="50">
        <f>+I70+I76+I80+I97+I99</f>
        <v>18912769259</v>
      </c>
      <c r="J69" s="19"/>
      <c r="K69" s="19"/>
      <c r="L69" s="19"/>
      <c r="M69" s="19"/>
    </row>
    <row r="70" spans="2:13" ht="39.75" customHeight="1">
      <c r="B70" s="3"/>
      <c r="C70" s="3"/>
      <c r="D70" s="2" t="s">
        <v>264</v>
      </c>
      <c r="E70" s="2"/>
      <c r="F70" s="3"/>
      <c r="G70" s="35"/>
      <c r="H70" s="50">
        <f>SUM(H71:H75)</f>
        <v>14511010</v>
      </c>
      <c r="I70" s="50">
        <f>SUM(I71:I75)</f>
        <v>9815907</v>
      </c>
      <c r="J70" s="19"/>
      <c r="K70" s="19"/>
      <c r="L70" s="19"/>
      <c r="M70" s="19"/>
    </row>
    <row r="71" spans="2:13" ht="39.75" customHeight="1">
      <c r="B71" s="3"/>
      <c r="C71" s="3"/>
      <c r="D71" s="2"/>
      <c r="E71" s="2"/>
      <c r="F71" s="3" t="s">
        <v>262</v>
      </c>
      <c r="G71" s="21">
        <v>41430</v>
      </c>
      <c r="H71" s="50">
        <v>3454500</v>
      </c>
      <c r="I71" s="76">
        <v>3445034</v>
      </c>
      <c r="J71" s="18" t="s">
        <v>263</v>
      </c>
      <c r="K71" s="19"/>
      <c r="L71" s="19"/>
      <c r="M71" s="19"/>
    </row>
    <row r="72" spans="2:13" ht="39.75" customHeight="1">
      <c r="B72" s="3"/>
      <c r="C72" s="3"/>
      <c r="D72" s="2"/>
      <c r="E72" s="2"/>
      <c r="F72" s="3" t="s">
        <v>262</v>
      </c>
      <c r="G72" s="12">
        <v>41437</v>
      </c>
      <c r="H72" s="50">
        <v>51750</v>
      </c>
      <c r="I72" s="50">
        <v>51750</v>
      </c>
      <c r="J72" s="18" t="s">
        <v>260</v>
      </c>
      <c r="K72" s="19"/>
      <c r="L72" s="19"/>
      <c r="M72" s="19"/>
    </row>
    <row r="73" spans="2:13" ht="39.75" customHeight="1">
      <c r="B73" s="3"/>
      <c r="C73" s="3"/>
      <c r="D73" s="2"/>
      <c r="E73" s="2"/>
      <c r="F73" s="3" t="s">
        <v>262</v>
      </c>
      <c r="G73" s="13" t="s">
        <v>261</v>
      </c>
      <c r="H73" s="50">
        <v>6319123</v>
      </c>
      <c r="I73" s="50">
        <v>6319123</v>
      </c>
      <c r="J73" s="18" t="s">
        <v>258</v>
      </c>
      <c r="K73" s="19"/>
      <c r="L73" s="19"/>
      <c r="M73" s="19"/>
    </row>
    <row r="74" spans="2:13" ht="39.75" customHeight="1">
      <c r="B74" s="3"/>
      <c r="C74" s="3"/>
      <c r="D74" s="2"/>
      <c r="E74" s="2"/>
      <c r="F74" s="3" t="s">
        <v>259</v>
      </c>
      <c r="G74" s="13">
        <v>41515</v>
      </c>
      <c r="H74" s="50">
        <v>111480</v>
      </c>
      <c r="I74" s="81">
        <v>0</v>
      </c>
      <c r="J74" s="18" t="s">
        <v>260</v>
      </c>
      <c r="K74" s="19"/>
      <c r="L74" s="19"/>
      <c r="M74" s="19"/>
    </row>
    <row r="75" spans="2:13" ht="39.75" customHeight="1">
      <c r="B75" s="3"/>
      <c r="C75" s="3"/>
      <c r="D75" s="2"/>
      <c r="E75" s="2"/>
      <c r="F75" s="3" t="s">
        <v>259</v>
      </c>
      <c r="G75" s="13">
        <v>41526</v>
      </c>
      <c r="H75" s="50">
        <v>4574157</v>
      </c>
      <c r="I75" s="81">
        <v>0</v>
      </c>
      <c r="J75" s="18" t="s">
        <v>258</v>
      </c>
      <c r="K75" s="19"/>
      <c r="L75" s="19"/>
      <c r="M75" s="19"/>
    </row>
    <row r="76" spans="2:13" ht="39.75" customHeight="1">
      <c r="B76" s="3"/>
      <c r="C76" s="3"/>
      <c r="D76" s="2" t="s">
        <v>257</v>
      </c>
      <c r="E76" s="2"/>
      <c r="F76" s="3"/>
      <c r="G76" s="35"/>
      <c r="H76" s="50">
        <f>SUM(H77:H79)</f>
        <v>4900000</v>
      </c>
      <c r="I76" s="50">
        <f>SUM(I77:I79)</f>
        <v>4900000</v>
      </c>
      <c r="J76" s="19"/>
      <c r="K76" s="19"/>
      <c r="L76" s="19"/>
      <c r="M76" s="19"/>
    </row>
    <row r="77" spans="2:13" ht="39.75" customHeight="1">
      <c r="B77" s="3"/>
      <c r="C77" s="3"/>
      <c r="D77" s="2"/>
      <c r="E77" s="2"/>
      <c r="F77" s="3" t="s">
        <v>254</v>
      </c>
      <c r="G77" s="12">
        <v>41445</v>
      </c>
      <c r="H77" s="50">
        <v>2000000</v>
      </c>
      <c r="I77" s="50">
        <v>2000000</v>
      </c>
      <c r="J77" s="19" t="s">
        <v>256</v>
      </c>
      <c r="K77" s="19"/>
      <c r="L77" s="19"/>
      <c r="M77" s="19"/>
    </row>
    <row r="78" spans="2:13" ht="39.75" customHeight="1">
      <c r="B78" s="3"/>
      <c r="C78" s="3"/>
      <c r="D78" s="2"/>
      <c r="E78" s="2"/>
      <c r="F78" s="3" t="s">
        <v>254</v>
      </c>
      <c r="G78" s="12">
        <v>41450</v>
      </c>
      <c r="H78" s="50">
        <v>1500000</v>
      </c>
      <c r="I78" s="50">
        <v>1500000</v>
      </c>
      <c r="J78" s="18" t="s">
        <v>255</v>
      </c>
      <c r="K78" s="19"/>
      <c r="L78" s="19"/>
      <c r="M78" s="19"/>
    </row>
    <row r="79" spans="2:13" ht="39.75" customHeight="1">
      <c r="B79" s="3"/>
      <c r="C79" s="3"/>
      <c r="D79" s="2"/>
      <c r="E79" s="2"/>
      <c r="F79" s="3" t="s">
        <v>254</v>
      </c>
      <c r="G79" s="12">
        <v>41451</v>
      </c>
      <c r="H79" s="50">
        <v>1400000</v>
      </c>
      <c r="I79" s="50">
        <v>1400000</v>
      </c>
      <c r="J79" s="19" t="s">
        <v>253</v>
      </c>
      <c r="K79" s="19"/>
      <c r="L79" s="19"/>
      <c r="M79" s="19"/>
    </row>
    <row r="80" spans="2:13" ht="49.5" customHeight="1">
      <c r="B80" s="3"/>
      <c r="C80" s="3"/>
      <c r="D80" s="2" t="s">
        <v>252</v>
      </c>
      <c r="E80" s="2"/>
      <c r="F80" s="3"/>
      <c r="G80" s="35"/>
      <c r="H80" s="50">
        <f>SUM(H81:H96)</f>
        <v>682411018</v>
      </c>
      <c r="I80" s="50">
        <f>SUM(I81:I96)</f>
        <v>674206600</v>
      </c>
      <c r="J80" s="19"/>
      <c r="K80" s="19"/>
      <c r="L80" s="19"/>
      <c r="M80" s="19"/>
    </row>
    <row r="81" spans="2:13" ht="60" customHeight="1">
      <c r="B81" s="3"/>
      <c r="C81" s="3"/>
      <c r="D81" s="2"/>
      <c r="E81" s="2"/>
      <c r="F81" s="3" t="s">
        <v>251</v>
      </c>
      <c r="G81" s="40" t="s">
        <v>443</v>
      </c>
      <c r="H81" s="52">
        <v>117666260</v>
      </c>
      <c r="I81" s="52">
        <v>117666260</v>
      </c>
      <c r="J81" s="19" t="s">
        <v>37</v>
      </c>
      <c r="K81" s="19"/>
      <c r="L81" s="19"/>
      <c r="M81" s="19"/>
    </row>
    <row r="82" spans="2:13" ht="60" customHeight="1">
      <c r="B82" s="3"/>
      <c r="C82" s="3"/>
      <c r="D82" s="2"/>
      <c r="E82" s="2"/>
      <c r="F82" s="3" t="s">
        <v>251</v>
      </c>
      <c r="G82" s="13" t="s">
        <v>444</v>
      </c>
      <c r="H82" s="52">
        <v>140279000</v>
      </c>
      <c r="I82" s="76">
        <v>134363270</v>
      </c>
      <c r="J82" s="19" t="s">
        <v>26</v>
      </c>
      <c r="K82" s="19"/>
      <c r="L82" s="19"/>
      <c r="M82" s="19"/>
    </row>
    <row r="83" spans="2:13" ht="60" customHeight="1">
      <c r="B83" s="3"/>
      <c r="C83" s="3"/>
      <c r="D83" s="2"/>
      <c r="E83" s="2"/>
      <c r="F83" s="3" t="s">
        <v>251</v>
      </c>
      <c r="G83" s="40" t="s">
        <v>445</v>
      </c>
      <c r="H83" s="52">
        <v>113627000</v>
      </c>
      <c r="I83" s="52">
        <v>113627000</v>
      </c>
      <c r="J83" s="19" t="s">
        <v>49</v>
      </c>
      <c r="K83" s="19"/>
      <c r="L83" s="19"/>
      <c r="M83" s="19"/>
    </row>
    <row r="84" spans="2:13" ht="60" customHeight="1">
      <c r="B84" s="3"/>
      <c r="C84" s="3"/>
      <c r="D84" s="2"/>
      <c r="E84" s="2"/>
      <c r="F84" s="3" t="s">
        <v>250</v>
      </c>
      <c r="G84" s="13" t="s">
        <v>446</v>
      </c>
      <c r="H84" s="52">
        <v>27265000</v>
      </c>
      <c r="I84" s="52">
        <v>27265000</v>
      </c>
      <c r="J84" s="19" t="s">
        <v>49</v>
      </c>
      <c r="K84" s="19"/>
      <c r="L84" s="19"/>
      <c r="M84" s="19"/>
    </row>
    <row r="85" spans="2:13" ht="60" customHeight="1">
      <c r="B85" s="3"/>
      <c r="C85" s="3"/>
      <c r="D85" s="2"/>
      <c r="E85" s="2"/>
      <c r="F85" s="3" t="s">
        <v>250</v>
      </c>
      <c r="G85" s="13" t="s">
        <v>447</v>
      </c>
      <c r="H85" s="52">
        <v>43279000</v>
      </c>
      <c r="I85" s="52">
        <v>43279000</v>
      </c>
      <c r="J85" s="19" t="s">
        <v>26</v>
      </c>
      <c r="K85" s="19"/>
      <c r="L85" s="19"/>
      <c r="M85" s="19"/>
    </row>
    <row r="86" spans="2:13" ht="60" customHeight="1">
      <c r="B86" s="3"/>
      <c r="C86" s="3"/>
      <c r="D86" s="2"/>
      <c r="E86" s="2"/>
      <c r="F86" s="3" t="s">
        <v>250</v>
      </c>
      <c r="G86" s="13" t="s">
        <v>448</v>
      </c>
      <c r="H86" s="52">
        <v>12783000</v>
      </c>
      <c r="I86" s="52">
        <v>12783000</v>
      </c>
      <c r="J86" s="19" t="s">
        <v>37</v>
      </c>
      <c r="K86" s="19"/>
      <c r="L86" s="19"/>
      <c r="M86" s="19"/>
    </row>
    <row r="87" spans="2:13" ht="90" customHeight="1">
      <c r="B87" s="3"/>
      <c r="C87" s="3"/>
      <c r="D87" s="2"/>
      <c r="E87" s="2"/>
      <c r="F87" s="3" t="s">
        <v>250</v>
      </c>
      <c r="G87" s="13" t="s">
        <v>449</v>
      </c>
      <c r="H87" s="52">
        <v>141654000</v>
      </c>
      <c r="I87" s="52">
        <v>141654000</v>
      </c>
      <c r="J87" s="19" t="s">
        <v>49</v>
      </c>
      <c r="K87" s="19"/>
      <c r="L87" s="19"/>
      <c r="M87" s="19"/>
    </row>
    <row r="88" spans="2:13" ht="60" customHeight="1">
      <c r="B88" s="3"/>
      <c r="C88" s="3"/>
      <c r="D88" s="2"/>
      <c r="E88" s="2"/>
      <c r="F88" s="3" t="s">
        <v>250</v>
      </c>
      <c r="G88" s="13" t="s">
        <v>534</v>
      </c>
      <c r="H88" s="52">
        <v>11227000</v>
      </c>
      <c r="I88" s="76">
        <v>9817000</v>
      </c>
      <c r="J88" s="19" t="s">
        <v>26</v>
      </c>
      <c r="K88" s="19"/>
      <c r="L88" s="19"/>
      <c r="M88" s="19"/>
    </row>
    <row r="89" spans="2:13" ht="90" customHeight="1">
      <c r="B89" s="3"/>
      <c r="C89" s="3"/>
      <c r="D89" s="2"/>
      <c r="E89" s="2"/>
      <c r="F89" s="3" t="s">
        <v>250</v>
      </c>
      <c r="G89" s="13" t="s">
        <v>450</v>
      </c>
      <c r="H89" s="52">
        <v>42081000</v>
      </c>
      <c r="I89" s="52">
        <v>42081000</v>
      </c>
      <c r="J89" s="19" t="s">
        <v>37</v>
      </c>
      <c r="K89" s="19"/>
      <c r="L89" s="19"/>
      <c r="M89" s="19"/>
    </row>
    <row r="90" spans="2:13" ht="39.75" customHeight="1">
      <c r="B90" s="3"/>
      <c r="C90" s="3"/>
      <c r="D90" s="2"/>
      <c r="E90" s="2"/>
      <c r="F90" s="3" t="s">
        <v>250</v>
      </c>
      <c r="G90" s="13">
        <v>41697</v>
      </c>
      <c r="H90" s="52">
        <v>787000</v>
      </c>
      <c r="I90" s="52">
        <v>787000</v>
      </c>
      <c r="J90" s="19" t="s">
        <v>37</v>
      </c>
      <c r="K90" s="19"/>
      <c r="L90" s="19"/>
      <c r="M90" s="19"/>
    </row>
    <row r="91" spans="2:13" ht="60" customHeight="1">
      <c r="B91" s="3"/>
      <c r="C91" s="3"/>
      <c r="D91" s="2"/>
      <c r="E91" s="2"/>
      <c r="F91" s="3" t="s">
        <v>249</v>
      </c>
      <c r="G91" s="13" t="s">
        <v>451</v>
      </c>
      <c r="H91" s="52">
        <v>1550000</v>
      </c>
      <c r="I91" s="76">
        <v>1258488</v>
      </c>
      <c r="J91" s="19" t="s">
        <v>49</v>
      </c>
      <c r="K91" s="19"/>
      <c r="L91" s="19"/>
      <c r="M91" s="19"/>
    </row>
    <row r="92" spans="2:13" ht="60" customHeight="1">
      <c r="B92" s="3"/>
      <c r="C92" s="3"/>
      <c r="D92" s="2"/>
      <c r="E92" s="2"/>
      <c r="F92" s="3" t="s">
        <v>249</v>
      </c>
      <c r="G92" s="13" t="s">
        <v>452</v>
      </c>
      <c r="H92" s="52">
        <v>11513000</v>
      </c>
      <c r="I92" s="52">
        <v>11513000</v>
      </c>
      <c r="J92" s="19" t="s">
        <v>37</v>
      </c>
      <c r="K92" s="19"/>
      <c r="L92" s="19"/>
      <c r="M92" s="19"/>
    </row>
    <row r="93" spans="2:13" ht="60" customHeight="1">
      <c r="B93" s="3"/>
      <c r="C93" s="3"/>
      <c r="D93" s="2"/>
      <c r="E93" s="2"/>
      <c r="F93" s="3" t="s">
        <v>249</v>
      </c>
      <c r="G93" s="13" t="s">
        <v>453</v>
      </c>
      <c r="H93" s="52">
        <v>6166758</v>
      </c>
      <c r="I93" s="76">
        <v>5579582</v>
      </c>
      <c r="J93" s="19" t="s">
        <v>26</v>
      </c>
      <c r="K93" s="19"/>
      <c r="L93" s="19"/>
      <c r="M93" s="19"/>
    </row>
    <row r="94" spans="2:13" ht="39.75" customHeight="1">
      <c r="B94" s="3"/>
      <c r="C94" s="3"/>
      <c r="D94" s="2"/>
      <c r="E94" s="2"/>
      <c r="F94" s="3" t="s">
        <v>247</v>
      </c>
      <c r="G94" s="12">
        <v>41453</v>
      </c>
      <c r="H94" s="52">
        <v>11300000</v>
      </c>
      <c r="I94" s="52">
        <v>11300000</v>
      </c>
      <c r="J94" s="19" t="s">
        <v>49</v>
      </c>
      <c r="K94" s="19"/>
      <c r="L94" s="19"/>
      <c r="M94" s="19"/>
    </row>
    <row r="95" spans="2:13" ht="39.75" customHeight="1">
      <c r="B95" s="3"/>
      <c r="C95" s="3"/>
      <c r="D95" s="2"/>
      <c r="E95" s="2"/>
      <c r="F95" s="3" t="s">
        <v>247</v>
      </c>
      <c r="G95" s="13">
        <v>41478</v>
      </c>
      <c r="H95" s="52">
        <v>969000</v>
      </c>
      <c r="I95" s="52">
        <v>969000</v>
      </c>
      <c r="J95" s="19" t="s">
        <v>37</v>
      </c>
      <c r="K95" s="19"/>
      <c r="L95" s="19"/>
      <c r="M95" s="19"/>
    </row>
    <row r="96" spans="2:13" ht="39.75" customHeight="1">
      <c r="B96" s="3"/>
      <c r="C96" s="3"/>
      <c r="D96" s="2"/>
      <c r="E96" s="2"/>
      <c r="F96" s="3" t="s">
        <v>247</v>
      </c>
      <c r="G96" s="12">
        <v>41507</v>
      </c>
      <c r="H96" s="52">
        <v>264000</v>
      </c>
      <c r="I96" s="52">
        <v>264000</v>
      </c>
      <c r="J96" s="19" t="s">
        <v>26</v>
      </c>
      <c r="K96" s="19"/>
      <c r="L96" s="19"/>
      <c r="M96" s="19"/>
    </row>
    <row r="97" spans="2:13" ht="39.75" customHeight="1">
      <c r="B97" s="3"/>
      <c r="C97" s="3"/>
      <c r="D97" s="2" t="s">
        <v>248</v>
      </c>
      <c r="E97" s="2"/>
      <c r="F97" s="3"/>
      <c r="G97" s="12"/>
      <c r="H97" s="47">
        <f>H98</f>
        <v>60000000</v>
      </c>
      <c r="I97" s="47">
        <f>I98</f>
        <v>60000000</v>
      </c>
      <c r="J97" s="19"/>
      <c r="K97" s="19"/>
      <c r="L97" s="19"/>
      <c r="M97" s="19"/>
    </row>
    <row r="98" spans="2:13" ht="39.75" customHeight="1">
      <c r="B98" s="3"/>
      <c r="C98" s="3"/>
      <c r="D98" s="2"/>
      <c r="E98" s="2"/>
      <c r="F98" s="3" t="s">
        <v>247</v>
      </c>
      <c r="G98" s="13" t="s">
        <v>454</v>
      </c>
      <c r="H98" s="47">
        <v>60000000</v>
      </c>
      <c r="I98" s="47">
        <v>60000000</v>
      </c>
      <c r="J98" s="19" t="s">
        <v>26</v>
      </c>
      <c r="K98" s="19"/>
      <c r="L98" s="19"/>
      <c r="M98" s="19"/>
    </row>
    <row r="99" spans="2:13" ht="39.75" customHeight="1">
      <c r="B99" s="3"/>
      <c r="C99" s="3"/>
      <c r="D99" s="2" t="s">
        <v>246</v>
      </c>
      <c r="E99" s="2"/>
      <c r="F99" s="3"/>
      <c r="G99" s="12"/>
      <c r="H99" s="50">
        <f>H100</f>
        <v>18163846752</v>
      </c>
      <c r="I99" s="50">
        <f>I100</f>
        <v>18163846752</v>
      </c>
      <c r="J99" s="19"/>
      <c r="K99" s="19"/>
      <c r="L99" s="19"/>
      <c r="M99" s="19"/>
    </row>
    <row r="100" spans="2:14" ht="399.75" customHeight="1">
      <c r="B100" s="87"/>
      <c r="C100" s="87"/>
      <c r="D100" s="90"/>
      <c r="E100" s="90"/>
      <c r="F100" s="87" t="s">
        <v>246</v>
      </c>
      <c r="G100" s="120" t="s">
        <v>599</v>
      </c>
      <c r="H100" s="94">
        <v>18163846752</v>
      </c>
      <c r="I100" s="94">
        <v>18163846752</v>
      </c>
      <c r="J100" s="97" t="s">
        <v>455</v>
      </c>
      <c r="K100" s="97"/>
      <c r="L100" s="97"/>
      <c r="M100" s="97"/>
      <c r="N100" s="86"/>
    </row>
    <row r="101" spans="2:14" ht="274.5" customHeight="1">
      <c r="B101" s="88"/>
      <c r="C101" s="88"/>
      <c r="D101" s="91"/>
      <c r="E101" s="91"/>
      <c r="F101" s="88"/>
      <c r="G101" s="121"/>
      <c r="H101" s="95"/>
      <c r="I101" s="95"/>
      <c r="J101" s="95"/>
      <c r="K101" s="95"/>
      <c r="L101" s="95"/>
      <c r="M101" s="95"/>
      <c r="N101" s="86"/>
    </row>
    <row r="102" spans="2:14" ht="274.5" customHeight="1">
      <c r="B102" s="88"/>
      <c r="C102" s="88"/>
      <c r="D102" s="91"/>
      <c r="E102" s="91"/>
      <c r="F102" s="88"/>
      <c r="G102" s="121" t="s">
        <v>600</v>
      </c>
      <c r="H102" s="95"/>
      <c r="I102" s="95"/>
      <c r="J102" s="95"/>
      <c r="K102" s="95"/>
      <c r="L102" s="95"/>
      <c r="M102" s="95"/>
      <c r="N102" s="86"/>
    </row>
    <row r="103" spans="2:14" ht="199.5" customHeight="1">
      <c r="B103" s="89"/>
      <c r="C103" s="89"/>
      <c r="D103" s="92"/>
      <c r="E103" s="92"/>
      <c r="F103" s="89"/>
      <c r="G103" s="122"/>
      <c r="H103" s="96"/>
      <c r="I103" s="96"/>
      <c r="J103" s="96"/>
      <c r="K103" s="96"/>
      <c r="L103" s="96"/>
      <c r="M103" s="96"/>
      <c r="N103" s="86"/>
    </row>
    <row r="104" spans="2:13" ht="39.75" customHeight="1">
      <c r="B104" s="3"/>
      <c r="C104" s="2" t="s">
        <v>245</v>
      </c>
      <c r="D104" s="2"/>
      <c r="E104" s="2"/>
      <c r="F104" s="3"/>
      <c r="G104" s="35"/>
      <c r="H104" s="50">
        <f>+H105+H109+H113+H117+H121</f>
        <v>2572744976</v>
      </c>
      <c r="I104" s="50">
        <f>+I105+I109+I113+I117+I121</f>
        <v>2572744976</v>
      </c>
      <c r="J104" s="19"/>
      <c r="K104" s="19"/>
      <c r="L104" s="19"/>
      <c r="M104" s="19"/>
    </row>
    <row r="105" spans="2:13" ht="39.75" customHeight="1">
      <c r="B105" s="3"/>
      <c r="C105" s="3"/>
      <c r="D105" s="2" t="s">
        <v>244</v>
      </c>
      <c r="E105" s="2"/>
      <c r="F105" s="3"/>
      <c r="G105" s="35"/>
      <c r="H105" s="50">
        <f>SUM(H106:H108)</f>
        <v>110177000</v>
      </c>
      <c r="I105" s="50">
        <f>SUM(I106:I108)</f>
        <v>110177000</v>
      </c>
      <c r="J105" s="19"/>
      <c r="K105" s="19"/>
      <c r="L105" s="19"/>
      <c r="M105" s="19"/>
    </row>
    <row r="106" spans="2:13" ht="60" customHeight="1">
      <c r="B106" s="3"/>
      <c r="C106" s="3"/>
      <c r="D106" s="2"/>
      <c r="E106" s="18"/>
      <c r="F106" s="3" t="s">
        <v>244</v>
      </c>
      <c r="G106" s="13" t="s">
        <v>598</v>
      </c>
      <c r="H106" s="47">
        <v>55243000</v>
      </c>
      <c r="I106" s="47">
        <v>55243000</v>
      </c>
      <c r="J106" s="19" t="s">
        <v>26</v>
      </c>
      <c r="K106" s="19"/>
      <c r="L106" s="19"/>
      <c r="M106" s="19"/>
    </row>
    <row r="107" spans="2:13" ht="60" customHeight="1">
      <c r="B107" s="3"/>
      <c r="C107" s="3"/>
      <c r="D107" s="2"/>
      <c r="E107" s="18"/>
      <c r="F107" s="3" t="s">
        <v>244</v>
      </c>
      <c r="G107" s="13" t="s">
        <v>456</v>
      </c>
      <c r="H107" s="47">
        <v>33133000</v>
      </c>
      <c r="I107" s="47">
        <v>33133000</v>
      </c>
      <c r="J107" s="19" t="s">
        <v>49</v>
      </c>
      <c r="K107" s="19"/>
      <c r="L107" s="19"/>
      <c r="M107" s="19"/>
    </row>
    <row r="108" spans="2:13" ht="39.75" customHeight="1">
      <c r="B108" s="3"/>
      <c r="C108" s="3"/>
      <c r="D108" s="2"/>
      <c r="E108" s="18"/>
      <c r="F108" s="3" t="s">
        <v>244</v>
      </c>
      <c r="G108" s="13" t="s">
        <v>457</v>
      </c>
      <c r="H108" s="47">
        <v>21801000</v>
      </c>
      <c r="I108" s="47">
        <v>21801000</v>
      </c>
      <c r="J108" s="19" t="s">
        <v>37</v>
      </c>
      <c r="K108" s="19"/>
      <c r="L108" s="19"/>
      <c r="M108" s="19"/>
    </row>
    <row r="109" spans="2:13" ht="39.75" customHeight="1">
      <c r="B109" s="3"/>
      <c r="C109" s="3"/>
      <c r="D109" s="2" t="s">
        <v>243</v>
      </c>
      <c r="E109" s="2"/>
      <c r="F109" s="3"/>
      <c r="G109" s="35"/>
      <c r="H109" s="50">
        <f>SUM(H110:H112)</f>
        <v>31041000</v>
      </c>
      <c r="I109" s="50">
        <f>SUM(I110:I112)</f>
        <v>31041000</v>
      </c>
      <c r="J109" s="19"/>
      <c r="K109" s="19"/>
      <c r="L109" s="19"/>
      <c r="M109" s="19"/>
    </row>
    <row r="110" spans="2:13" ht="60" customHeight="1">
      <c r="B110" s="3"/>
      <c r="C110" s="3"/>
      <c r="D110" s="2"/>
      <c r="E110" s="2"/>
      <c r="F110" s="3" t="s">
        <v>242</v>
      </c>
      <c r="G110" s="13" t="s">
        <v>458</v>
      </c>
      <c r="H110" s="47">
        <v>10338000</v>
      </c>
      <c r="I110" s="47">
        <v>10338000</v>
      </c>
      <c r="J110" s="19" t="s">
        <v>26</v>
      </c>
      <c r="K110" s="19"/>
      <c r="L110" s="19"/>
      <c r="M110" s="19"/>
    </row>
    <row r="111" spans="2:13" ht="60" customHeight="1">
      <c r="B111" s="3"/>
      <c r="C111" s="3"/>
      <c r="D111" s="2"/>
      <c r="E111" s="2"/>
      <c r="F111" s="3" t="s">
        <v>243</v>
      </c>
      <c r="G111" s="13" t="s">
        <v>459</v>
      </c>
      <c r="H111" s="47">
        <v>10565000</v>
      </c>
      <c r="I111" s="47">
        <v>10565000</v>
      </c>
      <c r="J111" s="19" t="s">
        <v>49</v>
      </c>
      <c r="K111" s="19"/>
      <c r="L111" s="19"/>
      <c r="M111" s="19"/>
    </row>
    <row r="112" spans="2:13" ht="60" customHeight="1">
      <c r="B112" s="3"/>
      <c r="C112" s="3"/>
      <c r="D112" s="2"/>
      <c r="E112" s="2"/>
      <c r="F112" s="3" t="s">
        <v>242</v>
      </c>
      <c r="G112" s="13" t="s">
        <v>460</v>
      </c>
      <c r="H112" s="47">
        <v>10138000</v>
      </c>
      <c r="I112" s="47">
        <v>10138000</v>
      </c>
      <c r="J112" s="19" t="s">
        <v>37</v>
      </c>
      <c r="K112" s="19"/>
      <c r="L112" s="19"/>
      <c r="M112" s="19"/>
    </row>
    <row r="113" spans="2:13" ht="39.75" customHeight="1">
      <c r="B113" s="3"/>
      <c r="C113" s="3"/>
      <c r="D113" s="2" t="s">
        <v>241</v>
      </c>
      <c r="E113" s="2"/>
      <c r="F113" s="3"/>
      <c r="G113" s="35"/>
      <c r="H113" s="50">
        <f>SUM(H114:H116)</f>
        <v>5601976</v>
      </c>
      <c r="I113" s="50">
        <f>SUM(I114:I116)</f>
        <v>5601976</v>
      </c>
      <c r="J113" s="19"/>
      <c r="K113" s="19"/>
      <c r="L113" s="19"/>
      <c r="M113" s="19"/>
    </row>
    <row r="114" spans="2:13" ht="60" customHeight="1">
      <c r="B114" s="3"/>
      <c r="C114" s="3"/>
      <c r="D114" s="2"/>
      <c r="E114" s="2"/>
      <c r="F114" s="3" t="s">
        <v>240</v>
      </c>
      <c r="G114" s="13" t="s">
        <v>461</v>
      </c>
      <c r="H114" s="47">
        <v>183976</v>
      </c>
      <c r="I114" s="47">
        <v>183976</v>
      </c>
      <c r="J114" s="19" t="s">
        <v>26</v>
      </c>
      <c r="K114" s="19"/>
      <c r="L114" s="19"/>
      <c r="M114" s="19"/>
    </row>
    <row r="115" spans="2:13" ht="39.75" customHeight="1">
      <c r="B115" s="3"/>
      <c r="C115" s="3"/>
      <c r="D115" s="2"/>
      <c r="E115" s="2"/>
      <c r="F115" s="3" t="s">
        <v>240</v>
      </c>
      <c r="G115" s="13" t="s">
        <v>462</v>
      </c>
      <c r="H115" s="47">
        <v>3322000</v>
      </c>
      <c r="I115" s="47">
        <v>3322000</v>
      </c>
      <c r="J115" s="19" t="s">
        <v>49</v>
      </c>
      <c r="K115" s="19"/>
      <c r="L115" s="19"/>
      <c r="M115" s="19"/>
    </row>
    <row r="116" spans="2:13" ht="39.75" customHeight="1">
      <c r="B116" s="3"/>
      <c r="C116" s="3"/>
      <c r="D116" s="2"/>
      <c r="E116" s="2"/>
      <c r="F116" s="3" t="s">
        <v>240</v>
      </c>
      <c r="G116" s="13" t="s">
        <v>463</v>
      </c>
      <c r="H116" s="47">
        <v>2096000</v>
      </c>
      <c r="I116" s="47">
        <v>2096000</v>
      </c>
      <c r="J116" s="19" t="s">
        <v>37</v>
      </c>
      <c r="K116" s="19"/>
      <c r="L116" s="19"/>
      <c r="M116" s="19"/>
    </row>
    <row r="117" spans="2:13" ht="39.75" customHeight="1">
      <c r="B117" s="3"/>
      <c r="C117" s="3"/>
      <c r="D117" s="2" t="s">
        <v>239</v>
      </c>
      <c r="E117" s="2"/>
      <c r="F117" s="3"/>
      <c r="G117" s="35"/>
      <c r="H117" s="50">
        <f>SUM(H118:H120)</f>
        <v>328525000</v>
      </c>
      <c r="I117" s="50">
        <f>SUM(I118:I120)</f>
        <v>328525000</v>
      </c>
      <c r="J117" s="19"/>
      <c r="K117" s="19"/>
      <c r="L117" s="19"/>
      <c r="M117" s="19"/>
    </row>
    <row r="118" spans="2:13" ht="39.75" customHeight="1">
      <c r="B118" s="3"/>
      <c r="C118" s="3"/>
      <c r="D118" s="2"/>
      <c r="E118" s="2"/>
      <c r="F118" s="3" t="s">
        <v>239</v>
      </c>
      <c r="G118" s="12">
        <v>41418</v>
      </c>
      <c r="H118" s="50">
        <v>108609000</v>
      </c>
      <c r="I118" s="50">
        <v>108609000</v>
      </c>
      <c r="J118" s="19" t="s">
        <v>26</v>
      </c>
      <c r="K118" s="19"/>
      <c r="L118" s="19"/>
      <c r="M118" s="19"/>
    </row>
    <row r="119" spans="2:13" ht="39.75" customHeight="1">
      <c r="B119" s="3"/>
      <c r="C119" s="3"/>
      <c r="D119" s="2"/>
      <c r="E119" s="2"/>
      <c r="F119" s="3" t="s">
        <v>239</v>
      </c>
      <c r="G119" s="12">
        <v>41424</v>
      </c>
      <c r="H119" s="50">
        <v>136175000</v>
      </c>
      <c r="I119" s="50">
        <v>136175000</v>
      </c>
      <c r="J119" s="19" t="s">
        <v>49</v>
      </c>
      <c r="K119" s="19"/>
      <c r="L119" s="19"/>
      <c r="M119" s="19"/>
    </row>
    <row r="120" spans="2:13" ht="39.75" customHeight="1">
      <c r="B120" s="3"/>
      <c r="C120" s="3"/>
      <c r="D120" s="2"/>
      <c r="E120" s="2"/>
      <c r="F120" s="3" t="s">
        <v>239</v>
      </c>
      <c r="G120" s="12">
        <v>41450</v>
      </c>
      <c r="H120" s="50">
        <v>83741000</v>
      </c>
      <c r="I120" s="50">
        <v>83741000</v>
      </c>
      <c r="J120" s="19" t="s">
        <v>37</v>
      </c>
      <c r="K120" s="19"/>
      <c r="L120" s="19"/>
      <c r="M120" s="19"/>
    </row>
    <row r="121" spans="2:13" ht="60" customHeight="1">
      <c r="B121" s="3"/>
      <c r="C121" s="3"/>
      <c r="D121" s="2" t="s">
        <v>464</v>
      </c>
      <c r="E121" s="2"/>
      <c r="F121" s="3"/>
      <c r="G121" s="12"/>
      <c r="H121" s="56">
        <f>SUM(H122:H130)</f>
        <v>2097400000</v>
      </c>
      <c r="I121" s="56">
        <f>SUM(I122:I130)</f>
        <v>2097400000</v>
      </c>
      <c r="J121" s="19"/>
      <c r="K121" s="19"/>
      <c r="L121" s="19"/>
      <c r="M121" s="19"/>
    </row>
    <row r="122" spans="2:13" ht="39.75" customHeight="1">
      <c r="B122" s="3"/>
      <c r="C122" s="3"/>
      <c r="D122" s="2"/>
      <c r="E122" s="2"/>
      <c r="F122" s="3" t="s">
        <v>465</v>
      </c>
      <c r="G122" s="12">
        <v>41710</v>
      </c>
      <c r="H122" s="56">
        <v>248473000</v>
      </c>
      <c r="I122" s="56">
        <v>248473000</v>
      </c>
      <c r="J122" s="19" t="s">
        <v>37</v>
      </c>
      <c r="K122" s="19"/>
      <c r="L122" s="19"/>
      <c r="M122" s="19"/>
    </row>
    <row r="123" spans="2:13" ht="39.75" customHeight="1">
      <c r="B123" s="3"/>
      <c r="C123" s="3"/>
      <c r="D123" s="2"/>
      <c r="E123" s="2"/>
      <c r="F123" s="3" t="s">
        <v>465</v>
      </c>
      <c r="G123" s="12">
        <v>41712</v>
      </c>
      <c r="H123" s="56">
        <v>373741000</v>
      </c>
      <c r="I123" s="56">
        <v>373741000</v>
      </c>
      <c r="J123" s="19" t="s">
        <v>49</v>
      </c>
      <c r="K123" s="19"/>
      <c r="L123" s="19"/>
      <c r="M123" s="19"/>
    </row>
    <row r="124" spans="2:13" ht="39.75" customHeight="1">
      <c r="B124" s="3"/>
      <c r="C124" s="3"/>
      <c r="D124" s="2"/>
      <c r="E124" s="2"/>
      <c r="F124" s="3" t="s">
        <v>465</v>
      </c>
      <c r="G124" s="12">
        <v>41716</v>
      </c>
      <c r="H124" s="56">
        <v>257503000</v>
      </c>
      <c r="I124" s="56">
        <v>257503000</v>
      </c>
      <c r="J124" s="19" t="s">
        <v>26</v>
      </c>
      <c r="K124" s="19"/>
      <c r="L124" s="19"/>
      <c r="M124" s="19"/>
    </row>
    <row r="125" spans="2:13" ht="39.75" customHeight="1">
      <c r="B125" s="3"/>
      <c r="C125" s="3"/>
      <c r="D125" s="2"/>
      <c r="E125" s="2"/>
      <c r="F125" s="3" t="s">
        <v>466</v>
      </c>
      <c r="G125" s="12">
        <v>41710</v>
      </c>
      <c r="H125" s="56">
        <v>275488000</v>
      </c>
      <c r="I125" s="56">
        <v>275488000</v>
      </c>
      <c r="J125" s="19" t="s">
        <v>269</v>
      </c>
      <c r="K125" s="19"/>
      <c r="L125" s="19"/>
      <c r="M125" s="19"/>
    </row>
    <row r="126" spans="2:13" ht="39.75" customHeight="1">
      <c r="B126" s="3"/>
      <c r="C126" s="3"/>
      <c r="D126" s="2"/>
      <c r="E126" s="2"/>
      <c r="F126" s="3" t="s">
        <v>466</v>
      </c>
      <c r="G126" s="12">
        <v>41712</v>
      </c>
      <c r="H126" s="56">
        <v>413853000</v>
      </c>
      <c r="I126" s="56">
        <v>413853000</v>
      </c>
      <c r="J126" s="19" t="s">
        <v>49</v>
      </c>
      <c r="K126" s="19"/>
      <c r="L126" s="19"/>
      <c r="M126" s="19"/>
    </row>
    <row r="127" spans="2:13" ht="39.75" customHeight="1">
      <c r="B127" s="3"/>
      <c r="C127" s="3"/>
      <c r="D127" s="2"/>
      <c r="E127" s="2"/>
      <c r="F127" s="3" t="s">
        <v>466</v>
      </c>
      <c r="G127" s="12">
        <v>41716</v>
      </c>
      <c r="H127" s="56">
        <v>276441000</v>
      </c>
      <c r="I127" s="56">
        <v>276441000</v>
      </c>
      <c r="J127" s="19" t="s">
        <v>26</v>
      </c>
      <c r="K127" s="19"/>
      <c r="L127" s="19"/>
      <c r="M127" s="19"/>
    </row>
    <row r="128" spans="2:13" ht="39.75" customHeight="1">
      <c r="B128" s="3"/>
      <c r="C128" s="3"/>
      <c r="D128" s="2"/>
      <c r="E128" s="2"/>
      <c r="F128" s="3" t="s">
        <v>597</v>
      </c>
      <c r="G128" s="12">
        <v>41710</v>
      </c>
      <c r="H128" s="56">
        <v>67524000</v>
      </c>
      <c r="I128" s="56">
        <v>67524000</v>
      </c>
      <c r="J128" s="19" t="s">
        <v>269</v>
      </c>
      <c r="K128" s="19"/>
      <c r="L128" s="19"/>
      <c r="M128" s="19"/>
    </row>
    <row r="129" spans="2:13" ht="39.75" customHeight="1">
      <c r="B129" s="3"/>
      <c r="C129" s="3"/>
      <c r="D129" s="2"/>
      <c r="E129" s="2"/>
      <c r="F129" s="3" t="s">
        <v>597</v>
      </c>
      <c r="G129" s="12">
        <v>41712</v>
      </c>
      <c r="H129" s="56">
        <v>103480000</v>
      </c>
      <c r="I129" s="56">
        <v>103480000</v>
      </c>
      <c r="J129" s="19" t="s">
        <v>49</v>
      </c>
      <c r="K129" s="19"/>
      <c r="L129" s="19"/>
      <c r="M129" s="19"/>
    </row>
    <row r="130" spans="2:13" ht="39.75" customHeight="1">
      <c r="B130" s="3"/>
      <c r="C130" s="3"/>
      <c r="D130" s="2"/>
      <c r="E130" s="2"/>
      <c r="F130" s="3" t="s">
        <v>597</v>
      </c>
      <c r="G130" s="12">
        <v>41716</v>
      </c>
      <c r="H130" s="56">
        <v>80897000</v>
      </c>
      <c r="I130" s="56">
        <v>80897000</v>
      </c>
      <c r="J130" s="19" t="s">
        <v>26</v>
      </c>
      <c r="K130" s="19"/>
      <c r="L130" s="19"/>
      <c r="M130" s="19"/>
    </row>
    <row r="131" spans="2:13" ht="39.75" customHeight="1">
      <c r="B131" s="3"/>
      <c r="C131" s="2" t="s">
        <v>45</v>
      </c>
      <c r="D131" s="2"/>
      <c r="E131" s="2"/>
      <c r="F131" s="3"/>
      <c r="G131" s="35"/>
      <c r="H131" s="50">
        <f>H132</f>
        <v>922690401</v>
      </c>
      <c r="I131" s="50">
        <f>I132</f>
        <v>922690401</v>
      </c>
      <c r="J131" s="18"/>
      <c r="K131" s="19"/>
      <c r="L131" s="19"/>
      <c r="M131" s="19"/>
    </row>
    <row r="132" spans="2:13" ht="60" customHeight="1">
      <c r="B132" s="3"/>
      <c r="C132" s="2"/>
      <c r="D132" s="2" t="s">
        <v>46</v>
      </c>
      <c r="E132" s="2"/>
      <c r="F132" s="3"/>
      <c r="G132" s="35"/>
      <c r="H132" s="50">
        <f>SUM(H133:H138)</f>
        <v>922690401</v>
      </c>
      <c r="I132" s="50">
        <f>SUM(I133:I138)</f>
        <v>922690401</v>
      </c>
      <c r="J132" s="18"/>
      <c r="K132" s="19"/>
      <c r="L132" s="19"/>
      <c r="M132" s="19"/>
    </row>
    <row r="133" spans="2:13" ht="60" customHeight="1">
      <c r="B133" s="3"/>
      <c r="C133" s="3"/>
      <c r="D133" s="2"/>
      <c r="E133" s="2"/>
      <c r="F133" s="2" t="s">
        <v>47</v>
      </c>
      <c r="G133" s="13" t="s">
        <v>421</v>
      </c>
      <c r="H133" s="52">
        <f>564756859-44999850</f>
        <v>519757009</v>
      </c>
      <c r="I133" s="52">
        <f>564756859-44999850</f>
        <v>519757009</v>
      </c>
      <c r="J133" s="18" t="s">
        <v>26</v>
      </c>
      <c r="K133" s="19"/>
      <c r="L133" s="19"/>
      <c r="M133" s="19" t="s">
        <v>48</v>
      </c>
    </row>
    <row r="134" spans="2:13" ht="39.75" customHeight="1">
      <c r="B134" s="3"/>
      <c r="C134" s="3"/>
      <c r="D134" s="2"/>
      <c r="E134" s="2"/>
      <c r="F134" s="2" t="s">
        <v>47</v>
      </c>
      <c r="G134" s="12">
        <v>41061</v>
      </c>
      <c r="H134" s="52">
        <v>20647000</v>
      </c>
      <c r="I134" s="52">
        <v>20647000</v>
      </c>
      <c r="J134" s="18" t="s">
        <v>51</v>
      </c>
      <c r="K134" s="19"/>
      <c r="L134" s="19"/>
      <c r="M134" s="19" t="s">
        <v>48</v>
      </c>
    </row>
    <row r="135" spans="2:13" ht="60" customHeight="1">
      <c r="B135" s="3"/>
      <c r="C135" s="3"/>
      <c r="D135" s="2"/>
      <c r="E135" s="2"/>
      <c r="F135" s="2" t="s">
        <v>47</v>
      </c>
      <c r="G135" s="13" t="s">
        <v>377</v>
      </c>
      <c r="H135" s="52">
        <f>139030860-31468</f>
        <v>138999392</v>
      </c>
      <c r="I135" s="52">
        <f>139030860-31468</f>
        <v>138999392</v>
      </c>
      <c r="J135" s="18" t="s">
        <v>49</v>
      </c>
      <c r="K135" s="19"/>
      <c r="L135" s="19"/>
      <c r="M135" s="19" t="s">
        <v>48</v>
      </c>
    </row>
    <row r="136" spans="2:13" ht="39.75" customHeight="1">
      <c r="B136" s="3"/>
      <c r="C136" s="3"/>
      <c r="D136" s="2"/>
      <c r="E136" s="2"/>
      <c r="F136" s="2" t="s">
        <v>47</v>
      </c>
      <c r="G136" s="12">
        <v>41073</v>
      </c>
      <c r="H136" s="52">
        <v>44552000</v>
      </c>
      <c r="I136" s="52">
        <v>44552000</v>
      </c>
      <c r="J136" s="18" t="s">
        <v>52</v>
      </c>
      <c r="K136" s="19"/>
      <c r="L136" s="19"/>
      <c r="M136" s="19" t="s">
        <v>48</v>
      </c>
    </row>
    <row r="137" spans="2:13" ht="39.75" customHeight="1">
      <c r="B137" s="3"/>
      <c r="C137" s="3"/>
      <c r="D137" s="2"/>
      <c r="E137" s="2"/>
      <c r="F137" s="2" t="s">
        <v>47</v>
      </c>
      <c r="G137" s="13" t="s">
        <v>378</v>
      </c>
      <c r="H137" s="52">
        <v>197445000</v>
      </c>
      <c r="I137" s="52">
        <v>197445000</v>
      </c>
      <c r="J137" s="18" t="s">
        <v>37</v>
      </c>
      <c r="K137" s="19"/>
      <c r="L137" s="19"/>
      <c r="M137" s="19" t="s">
        <v>48</v>
      </c>
    </row>
    <row r="138" spans="2:13" ht="39.75" customHeight="1">
      <c r="B138" s="3"/>
      <c r="C138" s="3"/>
      <c r="D138" s="2"/>
      <c r="E138" s="2"/>
      <c r="F138" s="2" t="s">
        <v>47</v>
      </c>
      <c r="G138" s="12">
        <v>41082</v>
      </c>
      <c r="H138" s="52">
        <v>1290000</v>
      </c>
      <c r="I138" s="52">
        <v>1290000</v>
      </c>
      <c r="J138" s="18" t="s">
        <v>50</v>
      </c>
      <c r="K138" s="19"/>
      <c r="L138" s="19"/>
      <c r="M138" s="19" t="s">
        <v>48</v>
      </c>
    </row>
    <row r="139" spans="2:13" ht="39.75" customHeight="1">
      <c r="B139" s="19"/>
      <c r="C139" s="18" t="s">
        <v>41</v>
      </c>
      <c r="D139" s="2"/>
      <c r="E139" s="2"/>
      <c r="F139" s="3"/>
      <c r="G139" s="35"/>
      <c r="H139" s="50">
        <f>H148+H140</f>
        <v>99560000</v>
      </c>
      <c r="I139" s="50">
        <f>I148+I140</f>
        <v>99522000</v>
      </c>
      <c r="J139" s="18"/>
      <c r="K139" s="19"/>
      <c r="L139" s="19"/>
      <c r="M139" s="19"/>
    </row>
    <row r="140" spans="2:13" ht="39.75" customHeight="1">
      <c r="B140" s="3"/>
      <c r="C140" s="2"/>
      <c r="D140" s="2" t="s">
        <v>42</v>
      </c>
      <c r="E140" s="2"/>
      <c r="F140" s="3"/>
      <c r="G140" s="35"/>
      <c r="H140" s="50">
        <f>H141</f>
        <v>12107000</v>
      </c>
      <c r="I140" s="50">
        <f>I141</f>
        <v>12107000</v>
      </c>
      <c r="J140" s="18"/>
      <c r="K140" s="19"/>
      <c r="L140" s="19"/>
      <c r="M140" s="19"/>
    </row>
    <row r="141" spans="2:13" ht="39.75" customHeight="1">
      <c r="B141" s="2"/>
      <c r="C141" s="2"/>
      <c r="D141" s="2"/>
      <c r="E141" s="2" t="s">
        <v>43</v>
      </c>
      <c r="F141" s="3"/>
      <c r="G141" s="35"/>
      <c r="H141" s="50">
        <f>SUM(H142:H147)</f>
        <v>12107000</v>
      </c>
      <c r="I141" s="50">
        <f>SUM(I142:I147)</f>
        <v>12107000</v>
      </c>
      <c r="J141" s="18"/>
      <c r="K141" s="19"/>
      <c r="L141" s="19"/>
      <c r="M141" s="19"/>
    </row>
    <row r="142" spans="2:13" ht="39.75" customHeight="1">
      <c r="B142" s="3"/>
      <c r="C142" s="3"/>
      <c r="D142" s="2"/>
      <c r="E142" s="2"/>
      <c r="F142" s="3" t="s">
        <v>43</v>
      </c>
      <c r="G142" s="21">
        <v>41418</v>
      </c>
      <c r="H142" s="50">
        <v>5691000</v>
      </c>
      <c r="I142" s="50">
        <v>5691000</v>
      </c>
      <c r="J142" s="19" t="s">
        <v>26</v>
      </c>
      <c r="K142" s="19"/>
      <c r="L142" s="19"/>
      <c r="M142" s="19"/>
    </row>
    <row r="143" spans="2:13" ht="39.75" customHeight="1">
      <c r="B143" s="3"/>
      <c r="C143" s="3"/>
      <c r="D143" s="2"/>
      <c r="E143" s="2"/>
      <c r="F143" s="3" t="s">
        <v>43</v>
      </c>
      <c r="G143" s="21">
        <v>41418</v>
      </c>
      <c r="H143" s="50">
        <v>1966000</v>
      </c>
      <c r="I143" s="50">
        <v>1966000</v>
      </c>
      <c r="J143" s="19" t="s">
        <v>49</v>
      </c>
      <c r="K143" s="19"/>
      <c r="L143" s="19"/>
      <c r="M143" s="19"/>
    </row>
    <row r="144" spans="2:13" ht="39.75" customHeight="1">
      <c r="B144" s="3"/>
      <c r="C144" s="3"/>
      <c r="D144" s="2"/>
      <c r="E144" s="2"/>
      <c r="F144" s="3" t="s">
        <v>43</v>
      </c>
      <c r="G144" s="21">
        <v>41418</v>
      </c>
      <c r="H144" s="50">
        <v>2534000</v>
      </c>
      <c r="I144" s="50">
        <v>2534000</v>
      </c>
      <c r="J144" s="19" t="s">
        <v>37</v>
      </c>
      <c r="K144" s="19"/>
      <c r="L144" s="19"/>
      <c r="M144" s="19"/>
    </row>
    <row r="145" spans="2:13" ht="39.75" customHeight="1">
      <c r="B145" s="3"/>
      <c r="C145" s="3"/>
      <c r="D145" s="2"/>
      <c r="E145" s="2"/>
      <c r="F145" s="3" t="s">
        <v>43</v>
      </c>
      <c r="G145" s="21">
        <v>41418</v>
      </c>
      <c r="H145" s="50">
        <v>350000</v>
      </c>
      <c r="I145" s="50">
        <v>350000</v>
      </c>
      <c r="J145" s="19" t="s">
        <v>37</v>
      </c>
      <c r="K145" s="19"/>
      <c r="L145" s="19"/>
      <c r="M145" s="19"/>
    </row>
    <row r="146" spans="2:13" ht="39.75" customHeight="1">
      <c r="B146" s="2"/>
      <c r="C146" s="2"/>
      <c r="D146" s="2"/>
      <c r="E146" s="2"/>
      <c r="F146" s="2" t="s">
        <v>299</v>
      </c>
      <c r="G146" s="12">
        <v>41446</v>
      </c>
      <c r="H146" s="50">
        <v>783000</v>
      </c>
      <c r="I146" s="50">
        <v>783000</v>
      </c>
      <c r="J146" s="18" t="s">
        <v>307</v>
      </c>
      <c r="K146" s="19"/>
      <c r="L146" s="19"/>
      <c r="M146" s="19"/>
    </row>
    <row r="147" spans="2:13" ht="39.75" customHeight="1">
      <c r="B147" s="2"/>
      <c r="C147" s="2"/>
      <c r="D147" s="2"/>
      <c r="E147" s="2"/>
      <c r="F147" s="2" t="s">
        <v>299</v>
      </c>
      <c r="G147" s="12">
        <v>41456</v>
      </c>
      <c r="H147" s="50">
        <v>783000</v>
      </c>
      <c r="I147" s="50">
        <v>783000</v>
      </c>
      <c r="J147" s="18" t="s">
        <v>308</v>
      </c>
      <c r="K147" s="19"/>
      <c r="L147" s="19"/>
      <c r="M147" s="19"/>
    </row>
    <row r="148" spans="2:13" ht="39.75" customHeight="1">
      <c r="B148" s="19"/>
      <c r="C148" s="18"/>
      <c r="D148" s="2" t="s">
        <v>297</v>
      </c>
      <c r="E148" s="2"/>
      <c r="F148" s="3"/>
      <c r="G148" s="35"/>
      <c r="H148" s="50">
        <f>H149+H153</f>
        <v>87453000</v>
      </c>
      <c r="I148" s="50">
        <f>I149+I153</f>
        <v>87415000</v>
      </c>
      <c r="J148" s="18"/>
      <c r="K148" s="19"/>
      <c r="L148" s="19"/>
      <c r="M148" s="19"/>
    </row>
    <row r="149" spans="2:13" ht="39.75" customHeight="1">
      <c r="B149" s="3"/>
      <c r="C149" s="18"/>
      <c r="D149" s="2"/>
      <c r="E149" s="2" t="s">
        <v>298</v>
      </c>
      <c r="F149" s="3"/>
      <c r="G149" s="35"/>
      <c r="H149" s="50">
        <f>SUM(H150:H152)</f>
        <v>81941000</v>
      </c>
      <c r="I149" s="50">
        <f>SUM(I150:I152)</f>
        <v>81941000</v>
      </c>
      <c r="J149" s="19"/>
      <c r="K149" s="19"/>
      <c r="L149" s="19"/>
      <c r="M149" s="19"/>
    </row>
    <row r="150" spans="2:13" ht="39.75" customHeight="1">
      <c r="B150" s="3"/>
      <c r="C150" s="3"/>
      <c r="D150" s="2"/>
      <c r="E150" s="2"/>
      <c r="F150" s="6" t="s">
        <v>158</v>
      </c>
      <c r="G150" s="40" t="s">
        <v>159</v>
      </c>
      <c r="H150" s="50">
        <v>38042000</v>
      </c>
      <c r="I150" s="50">
        <v>38042000</v>
      </c>
      <c r="J150" s="18" t="s">
        <v>49</v>
      </c>
      <c r="K150" s="18" t="s">
        <v>40</v>
      </c>
      <c r="L150" s="19"/>
      <c r="M150" s="19"/>
    </row>
    <row r="151" spans="2:13" ht="39.75" customHeight="1">
      <c r="B151" s="3"/>
      <c r="C151" s="3"/>
      <c r="D151" s="2"/>
      <c r="E151" s="2"/>
      <c r="F151" s="6" t="s">
        <v>158</v>
      </c>
      <c r="G151" s="40" t="s">
        <v>160</v>
      </c>
      <c r="H151" s="50">
        <v>30000000</v>
      </c>
      <c r="I151" s="50">
        <v>30000000</v>
      </c>
      <c r="J151" s="18" t="s">
        <v>37</v>
      </c>
      <c r="K151" s="18" t="s">
        <v>40</v>
      </c>
      <c r="L151" s="19"/>
      <c r="M151" s="19"/>
    </row>
    <row r="152" spans="2:13" ht="39.75" customHeight="1">
      <c r="B152" s="3"/>
      <c r="C152" s="3"/>
      <c r="D152" s="2"/>
      <c r="E152" s="2"/>
      <c r="F152" s="6" t="s">
        <v>161</v>
      </c>
      <c r="G152" s="40" t="s">
        <v>162</v>
      </c>
      <c r="H152" s="50">
        <v>13899000</v>
      </c>
      <c r="I152" s="50">
        <v>13899000</v>
      </c>
      <c r="J152" s="18" t="s">
        <v>49</v>
      </c>
      <c r="K152" s="18" t="s">
        <v>40</v>
      </c>
      <c r="L152" s="19"/>
      <c r="M152" s="19"/>
    </row>
    <row r="153" spans="2:13" ht="39.75" customHeight="1">
      <c r="B153" s="3"/>
      <c r="C153" s="3"/>
      <c r="D153" s="2"/>
      <c r="E153" s="41" t="s">
        <v>44</v>
      </c>
      <c r="F153" s="3"/>
      <c r="G153" s="40"/>
      <c r="H153" s="50">
        <f>SUM(H154:H157)</f>
        <v>5512000</v>
      </c>
      <c r="I153" s="50">
        <f>SUM(I154:I157)</f>
        <v>5474000</v>
      </c>
      <c r="J153" s="19"/>
      <c r="K153" s="19"/>
      <c r="L153" s="19"/>
      <c r="M153" s="19"/>
    </row>
    <row r="154" spans="2:13" ht="60" customHeight="1">
      <c r="B154" s="3"/>
      <c r="C154" s="3"/>
      <c r="D154" s="2"/>
      <c r="E154" s="2"/>
      <c r="F154" s="6" t="s">
        <v>164</v>
      </c>
      <c r="G154" s="13" t="s">
        <v>165</v>
      </c>
      <c r="H154" s="50">
        <v>460000</v>
      </c>
      <c r="I154" s="50">
        <v>460000</v>
      </c>
      <c r="J154" s="19" t="s">
        <v>37</v>
      </c>
      <c r="K154" s="19" t="s">
        <v>40</v>
      </c>
      <c r="L154" s="19"/>
      <c r="M154" s="19"/>
    </row>
    <row r="155" spans="2:13" ht="39.75" customHeight="1">
      <c r="B155" s="3"/>
      <c r="C155" s="3"/>
      <c r="D155" s="2"/>
      <c r="E155" s="2"/>
      <c r="F155" s="18" t="s">
        <v>163</v>
      </c>
      <c r="G155" s="13">
        <v>41439</v>
      </c>
      <c r="H155" s="50">
        <v>2457000</v>
      </c>
      <c r="I155" s="50">
        <v>2457000</v>
      </c>
      <c r="J155" s="19" t="s">
        <v>49</v>
      </c>
      <c r="K155" s="19" t="s">
        <v>40</v>
      </c>
      <c r="L155" s="19"/>
      <c r="M155" s="19"/>
    </row>
    <row r="156" spans="2:13" ht="39.75" customHeight="1">
      <c r="B156" s="3"/>
      <c r="C156" s="3"/>
      <c r="D156" s="2"/>
      <c r="E156" s="2"/>
      <c r="F156" s="18" t="s">
        <v>163</v>
      </c>
      <c r="G156" s="13">
        <v>41432</v>
      </c>
      <c r="H156" s="50">
        <v>2400000</v>
      </c>
      <c r="I156" s="76">
        <v>2362000</v>
      </c>
      <c r="J156" s="19" t="s">
        <v>37</v>
      </c>
      <c r="K156" s="19" t="s">
        <v>40</v>
      </c>
      <c r="L156" s="19"/>
      <c r="M156" s="19"/>
    </row>
    <row r="157" spans="2:13" ht="39.75" customHeight="1">
      <c r="B157" s="3"/>
      <c r="C157" s="3"/>
      <c r="D157" s="2"/>
      <c r="E157" s="2"/>
      <c r="F157" s="3" t="s">
        <v>166</v>
      </c>
      <c r="G157" s="13">
        <v>41437</v>
      </c>
      <c r="H157" s="50">
        <v>195000</v>
      </c>
      <c r="I157" s="50">
        <v>195000</v>
      </c>
      <c r="J157" s="19" t="s">
        <v>26</v>
      </c>
      <c r="K157" s="19"/>
      <c r="L157" s="19"/>
      <c r="M157" s="19"/>
    </row>
    <row r="158" spans="2:13" ht="39.75" customHeight="1">
      <c r="B158" s="3"/>
      <c r="C158" s="2" t="s">
        <v>184</v>
      </c>
      <c r="D158" s="2"/>
      <c r="E158" s="2"/>
      <c r="F158" s="19"/>
      <c r="G158" s="21"/>
      <c r="H158" s="50">
        <f>SUM(H159+H161)</f>
        <v>35455297</v>
      </c>
      <c r="I158" s="50">
        <f>SUM(I159+I161)</f>
        <v>35452827</v>
      </c>
      <c r="J158" s="2"/>
      <c r="K158" s="19"/>
      <c r="L158" s="19"/>
      <c r="M158" s="19"/>
    </row>
    <row r="159" spans="2:13" ht="39.75" customHeight="1">
      <c r="B159" s="3"/>
      <c r="C159" s="3"/>
      <c r="D159" s="2" t="s">
        <v>183</v>
      </c>
      <c r="E159" s="2"/>
      <c r="F159" s="19"/>
      <c r="G159" s="21"/>
      <c r="H159" s="50">
        <f>SUM(H160)</f>
        <v>273045</v>
      </c>
      <c r="I159" s="50">
        <f>SUM(I160)</f>
        <v>270575</v>
      </c>
      <c r="J159" s="2"/>
      <c r="K159" s="19"/>
      <c r="L159" s="19"/>
      <c r="M159" s="19"/>
    </row>
    <row r="160" spans="2:13" ht="39.75" customHeight="1">
      <c r="B160" s="3"/>
      <c r="C160" s="3"/>
      <c r="D160" s="2"/>
      <c r="E160" s="2"/>
      <c r="F160" s="19" t="s">
        <v>182</v>
      </c>
      <c r="G160" s="21">
        <v>41521</v>
      </c>
      <c r="H160" s="50">
        <v>273045</v>
      </c>
      <c r="I160" s="76">
        <v>270575</v>
      </c>
      <c r="J160" s="2" t="s">
        <v>181</v>
      </c>
      <c r="K160" s="19"/>
      <c r="L160" s="19"/>
      <c r="M160" s="19"/>
    </row>
    <row r="161" spans="2:13" ht="39.75" customHeight="1">
      <c r="B161" s="3"/>
      <c r="C161" s="3"/>
      <c r="D161" s="2" t="s">
        <v>180</v>
      </c>
      <c r="E161" s="2"/>
      <c r="F161" s="19"/>
      <c r="G161" s="21"/>
      <c r="H161" s="50">
        <f>SUM(H162:H165)</f>
        <v>35182252</v>
      </c>
      <c r="I161" s="50">
        <f>SUM(I162:I165)</f>
        <v>35182252</v>
      </c>
      <c r="J161" s="2"/>
      <c r="K161" s="19"/>
      <c r="L161" s="19"/>
      <c r="M161" s="19"/>
    </row>
    <row r="162" spans="2:13" ht="39.75" customHeight="1">
      <c r="B162" s="3"/>
      <c r="C162" s="3"/>
      <c r="D162" s="2"/>
      <c r="E162" s="2"/>
      <c r="F162" s="19" t="s">
        <v>179</v>
      </c>
      <c r="G162" s="40" t="s">
        <v>525</v>
      </c>
      <c r="H162" s="57">
        <v>175000</v>
      </c>
      <c r="I162" s="57">
        <v>175000</v>
      </c>
      <c r="J162" s="2" t="s">
        <v>26</v>
      </c>
      <c r="K162" s="19"/>
      <c r="L162" s="19"/>
      <c r="M162" s="19"/>
    </row>
    <row r="163" spans="2:13" ht="39.75" customHeight="1">
      <c r="B163" s="3"/>
      <c r="C163" s="3"/>
      <c r="D163" s="2"/>
      <c r="E163" s="2"/>
      <c r="F163" s="19" t="s">
        <v>179</v>
      </c>
      <c r="G163" s="40" t="s">
        <v>526</v>
      </c>
      <c r="H163" s="57">
        <v>368282</v>
      </c>
      <c r="I163" s="57">
        <v>368282</v>
      </c>
      <c r="J163" s="2" t="s">
        <v>49</v>
      </c>
      <c r="K163" s="19"/>
      <c r="L163" s="19"/>
      <c r="M163" s="19"/>
    </row>
    <row r="164" spans="2:13" ht="39.75" customHeight="1">
      <c r="B164" s="3"/>
      <c r="C164" s="3"/>
      <c r="D164" s="2"/>
      <c r="E164" s="2"/>
      <c r="F164" s="19" t="s">
        <v>179</v>
      </c>
      <c r="G164" s="21">
        <v>41465</v>
      </c>
      <c r="H164" s="57">
        <v>380000</v>
      </c>
      <c r="I164" s="57">
        <v>380000</v>
      </c>
      <c r="J164" s="2" t="s">
        <v>37</v>
      </c>
      <c r="K164" s="19"/>
      <c r="L164" s="19"/>
      <c r="M164" s="19"/>
    </row>
    <row r="165" spans="2:13" ht="39.75" customHeight="1">
      <c r="B165" s="3"/>
      <c r="C165" s="3"/>
      <c r="D165" s="2"/>
      <c r="E165" s="2"/>
      <c r="F165" s="19" t="s">
        <v>527</v>
      </c>
      <c r="G165" s="39" t="s">
        <v>528</v>
      </c>
      <c r="H165" s="57">
        <v>34258970</v>
      </c>
      <c r="I165" s="57">
        <v>34258970</v>
      </c>
      <c r="J165" s="2" t="s">
        <v>529</v>
      </c>
      <c r="K165" s="19"/>
      <c r="L165" s="19"/>
      <c r="M165" s="19"/>
    </row>
    <row r="166" spans="2:13" ht="39.75" customHeight="1">
      <c r="B166" s="3"/>
      <c r="C166" s="2" t="s">
        <v>238</v>
      </c>
      <c r="E166" s="2"/>
      <c r="F166" s="3"/>
      <c r="G166" s="35"/>
      <c r="H166" s="50">
        <f>SUM(H167,H189,H192)</f>
        <v>502278000</v>
      </c>
      <c r="I166" s="50">
        <f>SUM(I167,I189,I192)</f>
        <v>86820969</v>
      </c>
      <c r="J166" s="19"/>
      <c r="K166" s="19"/>
      <c r="L166" s="19"/>
      <c r="M166" s="19"/>
    </row>
    <row r="167" spans="2:13" ht="39.75" customHeight="1">
      <c r="B167" s="3"/>
      <c r="C167" s="3"/>
      <c r="D167" s="2" t="s">
        <v>237</v>
      </c>
      <c r="E167" s="2"/>
      <c r="F167" s="3"/>
      <c r="G167" s="35"/>
      <c r="H167" s="50">
        <f>SUM(H168:H188)</f>
        <v>63067000</v>
      </c>
      <c r="I167" s="50">
        <f>SUM(I168:I188)</f>
        <v>58487969</v>
      </c>
      <c r="J167" s="19"/>
      <c r="K167" s="19"/>
      <c r="L167" s="19"/>
      <c r="M167" s="19"/>
    </row>
    <row r="168" spans="2:13" ht="39.75" customHeight="1">
      <c r="B168" s="3"/>
      <c r="C168" s="3"/>
      <c r="D168" s="2"/>
      <c r="E168" s="2"/>
      <c r="F168" s="3" t="s">
        <v>232</v>
      </c>
      <c r="G168" s="12">
        <v>41515</v>
      </c>
      <c r="H168" s="47">
        <v>3545000</v>
      </c>
      <c r="I168" s="76">
        <v>3287000</v>
      </c>
      <c r="J168" s="18" t="s">
        <v>235</v>
      </c>
      <c r="K168" s="19"/>
      <c r="L168" s="19"/>
      <c r="M168" s="19"/>
    </row>
    <row r="169" spans="2:13" ht="39.75" customHeight="1">
      <c r="B169" s="3"/>
      <c r="C169" s="3"/>
      <c r="D169" s="2"/>
      <c r="E169" s="2"/>
      <c r="F169" s="3" t="s">
        <v>232</v>
      </c>
      <c r="G169" s="12">
        <v>41522</v>
      </c>
      <c r="H169" s="47">
        <v>265000</v>
      </c>
      <c r="I169" s="47">
        <v>265000</v>
      </c>
      <c r="J169" s="19" t="s">
        <v>538</v>
      </c>
      <c r="K169" s="19"/>
      <c r="L169" s="19"/>
      <c r="M169" s="19"/>
    </row>
    <row r="170" spans="2:13" ht="39.75" customHeight="1">
      <c r="B170" s="3"/>
      <c r="C170" s="3"/>
      <c r="D170" s="2"/>
      <c r="E170" s="2"/>
      <c r="F170" s="3" t="s">
        <v>232</v>
      </c>
      <c r="G170" s="13" t="s">
        <v>467</v>
      </c>
      <c r="H170" s="47">
        <v>359000</v>
      </c>
      <c r="I170" s="47">
        <v>359000</v>
      </c>
      <c r="J170" s="18" t="s">
        <v>236</v>
      </c>
      <c r="K170" s="19"/>
      <c r="L170" s="19"/>
      <c r="M170" s="19"/>
    </row>
    <row r="171" spans="2:13" ht="39.75" customHeight="1">
      <c r="B171" s="3"/>
      <c r="C171" s="3"/>
      <c r="D171" s="2"/>
      <c r="E171" s="2"/>
      <c r="F171" s="3" t="s">
        <v>232</v>
      </c>
      <c r="G171" s="13" t="s">
        <v>467</v>
      </c>
      <c r="H171" s="47">
        <v>1368000</v>
      </c>
      <c r="I171" s="76">
        <v>1139000</v>
      </c>
      <c r="J171" s="18" t="s">
        <v>234</v>
      </c>
      <c r="K171" s="19"/>
      <c r="L171" s="19"/>
      <c r="M171" s="19"/>
    </row>
    <row r="172" spans="2:13" ht="39.75" customHeight="1">
      <c r="B172" s="3"/>
      <c r="C172" s="3"/>
      <c r="D172" s="2"/>
      <c r="E172" s="2"/>
      <c r="F172" s="3" t="s">
        <v>232</v>
      </c>
      <c r="G172" s="12">
        <v>41534</v>
      </c>
      <c r="H172" s="47">
        <v>2026000</v>
      </c>
      <c r="I172" s="76">
        <v>1910000</v>
      </c>
      <c r="J172" s="18" t="s">
        <v>233</v>
      </c>
      <c r="K172" s="19"/>
      <c r="L172" s="19"/>
      <c r="M172" s="19"/>
    </row>
    <row r="173" spans="2:13" ht="39.75" customHeight="1">
      <c r="B173" s="3"/>
      <c r="C173" s="3"/>
      <c r="D173" s="2"/>
      <c r="E173" s="2"/>
      <c r="F173" s="3" t="s">
        <v>232</v>
      </c>
      <c r="G173" s="12">
        <v>41535</v>
      </c>
      <c r="H173" s="47">
        <v>7372000</v>
      </c>
      <c r="I173" s="76">
        <v>5384000</v>
      </c>
      <c r="J173" s="18" t="s">
        <v>231</v>
      </c>
      <c r="K173" s="19"/>
      <c r="L173" s="19"/>
      <c r="M173" s="19"/>
    </row>
    <row r="174" spans="2:13" ht="39.75" customHeight="1">
      <c r="B174" s="3"/>
      <c r="C174" s="3"/>
      <c r="D174" s="2"/>
      <c r="E174" s="2"/>
      <c r="F174" s="3" t="s">
        <v>232</v>
      </c>
      <c r="G174" s="12">
        <v>41548</v>
      </c>
      <c r="H174" s="47">
        <v>3971000</v>
      </c>
      <c r="I174" s="76">
        <v>3720000</v>
      </c>
      <c r="J174" s="18" t="s">
        <v>468</v>
      </c>
      <c r="K174" s="19"/>
      <c r="L174" s="19"/>
      <c r="M174" s="19"/>
    </row>
    <row r="175" spans="2:13" ht="39.75" customHeight="1">
      <c r="B175" s="3"/>
      <c r="C175" s="3"/>
      <c r="D175" s="2"/>
      <c r="E175" s="2"/>
      <c r="F175" s="3" t="s">
        <v>232</v>
      </c>
      <c r="G175" s="12">
        <v>41550</v>
      </c>
      <c r="H175" s="47">
        <v>1226000</v>
      </c>
      <c r="I175" s="76">
        <v>1083000</v>
      </c>
      <c r="J175" s="18" t="s">
        <v>470</v>
      </c>
      <c r="K175" s="19"/>
      <c r="L175" s="19"/>
      <c r="M175" s="19"/>
    </row>
    <row r="176" spans="2:13" ht="39.75" customHeight="1">
      <c r="B176" s="3"/>
      <c r="C176" s="3"/>
      <c r="D176" s="2"/>
      <c r="E176" s="2"/>
      <c r="F176" s="3" t="s">
        <v>232</v>
      </c>
      <c r="G176" s="12">
        <v>41551</v>
      </c>
      <c r="H176" s="47">
        <v>2668000</v>
      </c>
      <c r="I176" s="76">
        <v>2339000</v>
      </c>
      <c r="J176" s="18" t="s">
        <v>469</v>
      </c>
      <c r="K176" s="19"/>
      <c r="L176" s="19"/>
      <c r="M176" s="19"/>
    </row>
    <row r="177" spans="2:13" ht="39.75" customHeight="1">
      <c r="B177" s="3"/>
      <c r="C177" s="3"/>
      <c r="D177" s="2"/>
      <c r="E177" s="2"/>
      <c r="F177" s="3" t="s">
        <v>232</v>
      </c>
      <c r="G177" s="12">
        <v>41554</v>
      </c>
      <c r="H177" s="47">
        <v>993000</v>
      </c>
      <c r="I177" s="76">
        <v>853000</v>
      </c>
      <c r="J177" s="18" t="s">
        <v>538</v>
      </c>
      <c r="K177" s="19"/>
      <c r="L177" s="19"/>
      <c r="M177" s="19"/>
    </row>
    <row r="178" spans="2:13" ht="39.75" customHeight="1">
      <c r="B178" s="3"/>
      <c r="C178" s="3"/>
      <c r="D178" s="2"/>
      <c r="E178" s="2"/>
      <c r="F178" s="3" t="s">
        <v>232</v>
      </c>
      <c r="G178" s="12">
        <v>41569</v>
      </c>
      <c r="H178" s="47">
        <v>403000</v>
      </c>
      <c r="I178" s="76">
        <v>384000</v>
      </c>
      <c r="J178" s="18" t="s">
        <v>471</v>
      </c>
      <c r="K178" s="19"/>
      <c r="L178" s="19"/>
      <c r="M178" s="19"/>
    </row>
    <row r="179" spans="2:13" ht="39.75" customHeight="1">
      <c r="B179" s="3"/>
      <c r="C179" s="3"/>
      <c r="D179" s="2"/>
      <c r="E179" s="2"/>
      <c r="F179" s="3" t="s">
        <v>232</v>
      </c>
      <c r="G179" s="12">
        <v>41569</v>
      </c>
      <c r="H179" s="47">
        <v>771000</v>
      </c>
      <c r="I179" s="76">
        <v>731000</v>
      </c>
      <c r="J179" s="18" t="s">
        <v>538</v>
      </c>
      <c r="K179" s="19"/>
      <c r="L179" s="19"/>
      <c r="M179" s="19"/>
    </row>
    <row r="180" spans="2:13" ht="39.75" customHeight="1">
      <c r="B180" s="3"/>
      <c r="C180" s="3"/>
      <c r="D180" s="2"/>
      <c r="E180" s="2"/>
      <c r="F180" s="3" t="s">
        <v>232</v>
      </c>
      <c r="G180" s="12">
        <v>41654</v>
      </c>
      <c r="H180" s="47">
        <v>200000</v>
      </c>
      <c r="I180" s="47">
        <v>200000</v>
      </c>
      <c r="J180" s="18" t="s">
        <v>472</v>
      </c>
      <c r="K180" s="19"/>
      <c r="L180" s="19"/>
      <c r="M180" s="19"/>
    </row>
    <row r="181" spans="2:13" ht="39.75" customHeight="1">
      <c r="B181" s="2"/>
      <c r="C181" s="2"/>
      <c r="D181" s="2"/>
      <c r="E181" s="2"/>
      <c r="F181" s="2" t="s">
        <v>300</v>
      </c>
      <c r="G181" s="39">
        <v>41422</v>
      </c>
      <c r="H181" s="44">
        <v>7000000</v>
      </c>
      <c r="I181" s="76">
        <v>6774819</v>
      </c>
      <c r="J181" s="18" t="s">
        <v>53</v>
      </c>
      <c r="K181" s="18"/>
      <c r="L181" s="18"/>
      <c r="M181" s="18"/>
    </row>
    <row r="182" spans="2:13" ht="39.75" customHeight="1">
      <c r="B182" s="2"/>
      <c r="C182" s="2"/>
      <c r="D182" s="2"/>
      <c r="E182" s="2"/>
      <c r="F182" s="2" t="s">
        <v>300</v>
      </c>
      <c r="G182" s="39">
        <v>41432</v>
      </c>
      <c r="H182" s="44">
        <v>500000</v>
      </c>
      <c r="I182" s="44">
        <v>500000</v>
      </c>
      <c r="J182" s="18" t="s">
        <v>54</v>
      </c>
      <c r="K182" s="18"/>
      <c r="L182" s="18"/>
      <c r="M182" s="18"/>
    </row>
    <row r="183" spans="2:13" ht="39.75" customHeight="1">
      <c r="B183" s="2"/>
      <c r="C183" s="2"/>
      <c r="D183" s="2"/>
      <c r="E183" s="2"/>
      <c r="F183" s="2" t="s">
        <v>300</v>
      </c>
      <c r="G183" s="39">
        <v>41436</v>
      </c>
      <c r="H183" s="44">
        <v>10000000</v>
      </c>
      <c r="I183" s="44">
        <v>10000000</v>
      </c>
      <c r="J183" s="18" t="s">
        <v>49</v>
      </c>
      <c r="K183" s="18"/>
      <c r="L183" s="18"/>
      <c r="M183" s="18"/>
    </row>
    <row r="184" spans="2:13" ht="39.75" customHeight="1">
      <c r="B184" s="2"/>
      <c r="C184" s="2"/>
      <c r="D184" s="2"/>
      <c r="E184" s="2"/>
      <c r="F184" s="2" t="s">
        <v>300</v>
      </c>
      <c r="G184" s="39">
        <v>41436</v>
      </c>
      <c r="H184" s="44">
        <v>5000000</v>
      </c>
      <c r="I184" s="44">
        <v>5000000</v>
      </c>
      <c r="J184" s="18" t="s">
        <v>37</v>
      </c>
      <c r="K184" s="18"/>
      <c r="L184" s="18"/>
      <c r="M184" s="18"/>
    </row>
    <row r="185" spans="2:13" ht="39.75" customHeight="1">
      <c r="B185" s="2"/>
      <c r="C185" s="2"/>
      <c r="D185" s="2"/>
      <c r="E185" s="2"/>
      <c r="F185" s="2" t="s">
        <v>300</v>
      </c>
      <c r="G185" s="39">
        <v>41436</v>
      </c>
      <c r="H185" s="44">
        <v>1200000</v>
      </c>
      <c r="I185" s="44">
        <v>1200000</v>
      </c>
      <c r="J185" s="18" t="s">
        <v>157</v>
      </c>
      <c r="K185" s="18"/>
      <c r="L185" s="18"/>
      <c r="M185" s="18"/>
    </row>
    <row r="186" spans="2:13" ht="39.75" customHeight="1">
      <c r="B186" s="2"/>
      <c r="C186" s="2"/>
      <c r="D186" s="2"/>
      <c r="E186" s="2"/>
      <c r="F186" s="2" t="s">
        <v>300</v>
      </c>
      <c r="G186" s="39">
        <v>41576</v>
      </c>
      <c r="H186" s="44">
        <v>10000000</v>
      </c>
      <c r="I186" s="76">
        <v>9159150</v>
      </c>
      <c r="J186" s="18" t="s">
        <v>26</v>
      </c>
      <c r="K186" s="18"/>
      <c r="L186" s="18"/>
      <c r="M186" s="18"/>
    </row>
    <row r="187" spans="2:13" ht="39.75" customHeight="1">
      <c r="B187" s="2"/>
      <c r="C187" s="2"/>
      <c r="D187" s="2"/>
      <c r="E187" s="2"/>
      <c r="F187" s="2" t="s">
        <v>300</v>
      </c>
      <c r="G187" s="39">
        <v>41577</v>
      </c>
      <c r="H187" s="44">
        <v>3000000</v>
      </c>
      <c r="I187" s="44">
        <v>3000000</v>
      </c>
      <c r="J187" s="18" t="s">
        <v>87</v>
      </c>
      <c r="K187" s="18"/>
      <c r="L187" s="18"/>
      <c r="M187" s="18"/>
    </row>
    <row r="188" spans="2:13" ht="39.75" customHeight="1">
      <c r="B188" s="2"/>
      <c r="C188" s="2"/>
      <c r="D188" s="2"/>
      <c r="E188" s="2"/>
      <c r="F188" s="2" t="s">
        <v>300</v>
      </c>
      <c r="G188" s="39">
        <v>41585</v>
      </c>
      <c r="H188" s="44">
        <v>1200000</v>
      </c>
      <c r="I188" s="44">
        <v>1200000</v>
      </c>
      <c r="J188" s="18" t="s">
        <v>315</v>
      </c>
      <c r="K188" s="18"/>
      <c r="L188" s="18"/>
      <c r="M188" s="18"/>
    </row>
    <row r="189" spans="2:13" ht="39.75" customHeight="1">
      <c r="B189" s="3"/>
      <c r="C189" s="3"/>
      <c r="D189" s="2" t="s">
        <v>473</v>
      </c>
      <c r="E189" s="2"/>
      <c r="F189" s="3"/>
      <c r="G189" s="12"/>
      <c r="H189" s="47">
        <f>SUM(H190:H191)</f>
        <v>413963000</v>
      </c>
      <c r="I189" s="47">
        <f>SUM(I190:I191)</f>
        <v>3085000</v>
      </c>
      <c r="J189" s="18"/>
      <c r="K189" s="19"/>
      <c r="L189" s="19"/>
      <c r="M189" s="19"/>
    </row>
    <row r="190" spans="2:13" ht="39.75" customHeight="1">
      <c r="B190" s="3"/>
      <c r="C190" s="3"/>
      <c r="D190" s="2"/>
      <c r="E190" s="2"/>
      <c r="F190" s="3" t="s">
        <v>474</v>
      </c>
      <c r="G190" s="12">
        <v>41590</v>
      </c>
      <c r="H190" s="47">
        <v>189000000</v>
      </c>
      <c r="I190" s="76">
        <v>3085000</v>
      </c>
      <c r="J190" s="18" t="s">
        <v>475</v>
      </c>
      <c r="K190" s="19"/>
      <c r="L190" s="19"/>
      <c r="M190" s="18" t="s">
        <v>541</v>
      </c>
    </row>
    <row r="191" spans="2:13" ht="39.75" customHeight="1">
      <c r="B191" s="3"/>
      <c r="C191" s="3"/>
      <c r="D191" s="2"/>
      <c r="E191" s="2"/>
      <c r="F191" s="3" t="s">
        <v>476</v>
      </c>
      <c r="G191" s="12">
        <v>41591</v>
      </c>
      <c r="H191" s="47">
        <v>224963000</v>
      </c>
      <c r="I191" s="47">
        <v>0</v>
      </c>
      <c r="J191" s="18" t="s">
        <v>596</v>
      </c>
      <c r="K191" s="19"/>
      <c r="L191" s="19"/>
      <c r="M191" s="18" t="s">
        <v>542</v>
      </c>
    </row>
    <row r="192" spans="2:13" ht="39.75" customHeight="1">
      <c r="B192" s="3"/>
      <c r="C192" s="3"/>
      <c r="D192" s="2" t="s">
        <v>477</v>
      </c>
      <c r="E192" s="2"/>
      <c r="F192" s="3"/>
      <c r="G192" s="12"/>
      <c r="H192" s="47">
        <f>SUM(H193:H195)</f>
        <v>25248000</v>
      </c>
      <c r="I192" s="47">
        <f>SUM(I193:I195)</f>
        <v>25248000</v>
      </c>
      <c r="J192" s="18"/>
      <c r="K192" s="19"/>
      <c r="L192" s="19"/>
      <c r="M192" s="19"/>
    </row>
    <row r="193" spans="2:13" ht="39.75" customHeight="1">
      <c r="B193" s="3"/>
      <c r="C193" s="3"/>
      <c r="D193" s="2"/>
      <c r="E193" s="2"/>
      <c r="F193" s="3" t="s">
        <v>478</v>
      </c>
      <c r="G193" s="13" t="s">
        <v>479</v>
      </c>
      <c r="H193" s="47">
        <v>8197000</v>
      </c>
      <c r="I193" s="47">
        <v>8197000</v>
      </c>
      <c r="J193" s="18" t="s">
        <v>49</v>
      </c>
      <c r="K193" s="19"/>
      <c r="L193" s="19"/>
      <c r="M193" s="19"/>
    </row>
    <row r="194" spans="2:13" ht="39.75" customHeight="1">
      <c r="B194" s="3"/>
      <c r="C194" s="3"/>
      <c r="D194" s="2"/>
      <c r="E194" s="2"/>
      <c r="F194" s="3" t="s">
        <v>478</v>
      </c>
      <c r="G194" s="12">
        <v>41572</v>
      </c>
      <c r="H194" s="47">
        <v>8760000</v>
      </c>
      <c r="I194" s="47">
        <v>8760000</v>
      </c>
      <c r="J194" s="18" t="s">
        <v>26</v>
      </c>
      <c r="K194" s="19"/>
      <c r="L194" s="19"/>
      <c r="M194" s="19"/>
    </row>
    <row r="195" spans="2:13" ht="39.75" customHeight="1">
      <c r="B195" s="3"/>
      <c r="C195" s="3"/>
      <c r="D195" s="2"/>
      <c r="E195" s="2"/>
      <c r="F195" s="3" t="s">
        <v>478</v>
      </c>
      <c r="G195" s="13" t="s">
        <v>480</v>
      </c>
      <c r="H195" s="47">
        <v>8291000</v>
      </c>
      <c r="I195" s="47">
        <v>8291000</v>
      </c>
      <c r="J195" s="18" t="s">
        <v>37</v>
      </c>
      <c r="K195" s="19"/>
      <c r="L195" s="19"/>
      <c r="M195" s="19"/>
    </row>
    <row r="196" spans="2:13" ht="39.75" customHeight="1">
      <c r="B196" s="3"/>
      <c r="C196" s="2" t="s">
        <v>230</v>
      </c>
      <c r="D196" s="2"/>
      <c r="E196" s="2"/>
      <c r="F196" s="3"/>
      <c r="G196" s="35"/>
      <c r="H196" s="50">
        <f>SUM(H197)</f>
        <v>5396000</v>
      </c>
      <c r="I196" s="50">
        <f>SUM(I197)</f>
        <v>5123000</v>
      </c>
      <c r="J196" s="18"/>
      <c r="K196" s="19"/>
      <c r="L196" s="19"/>
      <c r="M196" s="19"/>
    </row>
    <row r="197" spans="2:13" ht="60" customHeight="1">
      <c r="B197" s="3"/>
      <c r="C197" s="3"/>
      <c r="D197" s="2" t="s">
        <v>229</v>
      </c>
      <c r="E197" s="2"/>
      <c r="F197" s="3"/>
      <c r="G197" s="35"/>
      <c r="H197" s="50">
        <f>SUM(H198:H200)</f>
        <v>5396000</v>
      </c>
      <c r="I197" s="50">
        <f>SUM(I198:I200)</f>
        <v>5123000</v>
      </c>
      <c r="J197" s="18"/>
      <c r="K197" s="19"/>
      <c r="L197" s="19"/>
      <c r="M197" s="19"/>
    </row>
    <row r="198" spans="2:13" ht="39.75" customHeight="1">
      <c r="B198" s="3"/>
      <c r="C198" s="3"/>
      <c r="D198" s="2"/>
      <c r="E198" s="2"/>
      <c r="F198" s="3" t="s">
        <v>227</v>
      </c>
      <c r="G198" s="13" t="s">
        <v>481</v>
      </c>
      <c r="H198" s="47">
        <v>1043000</v>
      </c>
      <c r="I198" s="47">
        <v>1043000</v>
      </c>
      <c r="J198" s="18" t="s">
        <v>228</v>
      </c>
      <c r="K198" s="19"/>
      <c r="L198" s="19"/>
      <c r="M198" s="19"/>
    </row>
    <row r="199" spans="2:13" ht="39.75" customHeight="1">
      <c r="B199" s="3"/>
      <c r="C199" s="3"/>
      <c r="D199" s="2"/>
      <c r="E199" s="2"/>
      <c r="F199" s="3" t="s">
        <v>227</v>
      </c>
      <c r="G199" s="12">
        <v>41515</v>
      </c>
      <c r="H199" s="47">
        <v>2141000</v>
      </c>
      <c r="I199" s="47">
        <v>2141000</v>
      </c>
      <c r="J199" s="18" t="s">
        <v>226</v>
      </c>
      <c r="K199" s="19"/>
      <c r="L199" s="19"/>
      <c r="M199" s="19"/>
    </row>
    <row r="200" spans="2:13" ht="39.75" customHeight="1">
      <c r="B200" s="3"/>
      <c r="C200" s="3"/>
      <c r="D200" s="2"/>
      <c r="E200" s="2"/>
      <c r="F200" s="3" t="s">
        <v>227</v>
      </c>
      <c r="G200" s="13" t="s">
        <v>595</v>
      </c>
      <c r="H200" s="47">
        <v>2212000</v>
      </c>
      <c r="I200" s="76">
        <v>1939000</v>
      </c>
      <c r="J200" s="18" t="s">
        <v>482</v>
      </c>
      <c r="K200" s="19"/>
      <c r="L200" s="19"/>
      <c r="M200" s="19"/>
    </row>
    <row r="201" spans="2:13" ht="38.25" customHeight="1">
      <c r="B201" s="3"/>
      <c r="C201" s="3" t="s">
        <v>274</v>
      </c>
      <c r="D201" s="2"/>
      <c r="E201" s="2"/>
      <c r="F201" s="3"/>
      <c r="G201" s="35"/>
      <c r="H201" s="50">
        <f>SUM(H202,H225)</f>
        <v>109205606</v>
      </c>
      <c r="I201" s="50">
        <f>SUM(I202,I225)</f>
        <v>103258394</v>
      </c>
      <c r="J201" s="19"/>
      <c r="K201" s="19"/>
      <c r="L201" s="19"/>
      <c r="M201" s="19"/>
    </row>
    <row r="202" spans="2:13" ht="38.25" customHeight="1">
      <c r="B202" s="3"/>
      <c r="C202" s="3"/>
      <c r="D202" s="2" t="s">
        <v>275</v>
      </c>
      <c r="E202" s="2"/>
      <c r="F202" s="3"/>
      <c r="G202" s="35"/>
      <c r="H202" s="50">
        <f>SUM(H203:H224)</f>
        <v>86535606</v>
      </c>
      <c r="I202" s="50">
        <f>SUM(I203:I224)</f>
        <v>81155394</v>
      </c>
      <c r="J202" s="19"/>
      <c r="K202" s="19"/>
      <c r="L202" s="19"/>
      <c r="M202" s="19"/>
    </row>
    <row r="203" spans="2:13" ht="38.25" customHeight="1">
      <c r="B203" s="3"/>
      <c r="C203" s="3"/>
      <c r="D203" s="2"/>
      <c r="E203" s="2"/>
      <c r="F203" s="3" t="s">
        <v>284</v>
      </c>
      <c r="G203" s="21">
        <v>41443</v>
      </c>
      <c r="H203" s="50">
        <v>2027246</v>
      </c>
      <c r="I203" s="76">
        <v>1949722</v>
      </c>
      <c r="J203" s="18" t="s">
        <v>289</v>
      </c>
      <c r="K203" s="19"/>
      <c r="L203" s="19"/>
      <c r="M203" s="19"/>
    </row>
    <row r="204" spans="2:13" ht="38.25" customHeight="1">
      <c r="B204" s="3"/>
      <c r="C204" s="3"/>
      <c r="D204" s="2"/>
      <c r="E204" s="2"/>
      <c r="F204" s="3" t="s">
        <v>284</v>
      </c>
      <c r="G204" s="21">
        <v>41445</v>
      </c>
      <c r="H204" s="50">
        <v>1747000</v>
      </c>
      <c r="I204" s="76">
        <v>1504467</v>
      </c>
      <c r="J204" s="18" t="s">
        <v>286</v>
      </c>
      <c r="K204" s="19"/>
      <c r="L204" s="19"/>
      <c r="M204" s="19"/>
    </row>
    <row r="205" spans="2:13" ht="38.25" customHeight="1">
      <c r="B205" s="3"/>
      <c r="C205" s="3"/>
      <c r="D205" s="2"/>
      <c r="E205" s="2"/>
      <c r="F205" s="3" t="s">
        <v>284</v>
      </c>
      <c r="G205" s="21">
        <v>41445</v>
      </c>
      <c r="H205" s="50">
        <v>2200000</v>
      </c>
      <c r="I205" s="76">
        <v>2167012</v>
      </c>
      <c r="J205" s="18" t="s">
        <v>287</v>
      </c>
      <c r="K205" s="19"/>
      <c r="L205" s="19"/>
      <c r="M205" s="19"/>
    </row>
    <row r="206" spans="2:13" ht="38.25" customHeight="1">
      <c r="B206" s="3"/>
      <c r="C206" s="3"/>
      <c r="D206" s="2"/>
      <c r="E206" s="2"/>
      <c r="F206" s="3" t="s">
        <v>284</v>
      </c>
      <c r="G206" s="21">
        <v>41445</v>
      </c>
      <c r="H206" s="50">
        <v>2175000</v>
      </c>
      <c r="I206" s="76">
        <v>1895927</v>
      </c>
      <c r="J206" s="18" t="s">
        <v>288</v>
      </c>
      <c r="K206" s="19"/>
      <c r="L206" s="19"/>
      <c r="M206" s="19"/>
    </row>
    <row r="207" spans="2:13" ht="38.25" customHeight="1">
      <c r="B207" s="3"/>
      <c r="C207" s="3"/>
      <c r="D207" s="2"/>
      <c r="E207" s="2"/>
      <c r="F207" s="3" t="s">
        <v>284</v>
      </c>
      <c r="G207" s="21">
        <v>41446</v>
      </c>
      <c r="H207" s="50">
        <v>1939000</v>
      </c>
      <c r="I207" s="76">
        <v>1932751</v>
      </c>
      <c r="J207" s="18" t="s">
        <v>285</v>
      </c>
      <c r="K207" s="19"/>
      <c r="L207" s="19"/>
      <c r="M207" s="19"/>
    </row>
    <row r="208" spans="2:13" ht="39.75" customHeight="1">
      <c r="B208" s="3"/>
      <c r="C208" s="3"/>
      <c r="D208" s="2"/>
      <c r="E208" s="2"/>
      <c r="F208" s="3" t="s">
        <v>284</v>
      </c>
      <c r="G208" s="21">
        <v>41463</v>
      </c>
      <c r="H208" s="50">
        <v>2181360</v>
      </c>
      <c r="I208" s="50">
        <v>2181360</v>
      </c>
      <c r="J208" s="18" t="s">
        <v>290</v>
      </c>
      <c r="K208" s="19"/>
      <c r="L208" s="19"/>
      <c r="M208" s="19"/>
    </row>
    <row r="209" spans="2:13" ht="39.75" customHeight="1">
      <c r="B209" s="3"/>
      <c r="C209" s="3"/>
      <c r="D209" s="2"/>
      <c r="E209" s="2"/>
      <c r="F209" s="3" t="s">
        <v>276</v>
      </c>
      <c r="G209" s="21">
        <v>41520</v>
      </c>
      <c r="H209" s="50">
        <v>4520000</v>
      </c>
      <c r="I209" s="76">
        <v>4476975</v>
      </c>
      <c r="J209" s="18" t="s">
        <v>283</v>
      </c>
      <c r="K209" s="19"/>
      <c r="L209" s="19"/>
      <c r="M209" s="19"/>
    </row>
    <row r="210" spans="2:13" ht="39.75" customHeight="1">
      <c r="B210" s="3"/>
      <c r="C210" s="3"/>
      <c r="D210" s="2"/>
      <c r="E210" s="2"/>
      <c r="F210" s="3" t="s">
        <v>276</v>
      </c>
      <c r="G210" s="21">
        <v>41526</v>
      </c>
      <c r="H210" s="50">
        <v>4767000</v>
      </c>
      <c r="I210" s="76">
        <v>4766177</v>
      </c>
      <c r="J210" s="18" t="s">
        <v>277</v>
      </c>
      <c r="K210" s="19"/>
      <c r="L210" s="19"/>
      <c r="M210" s="19"/>
    </row>
    <row r="211" spans="2:13" ht="39.75" customHeight="1">
      <c r="B211" s="3"/>
      <c r="C211" s="3"/>
      <c r="D211" s="2"/>
      <c r="E211" s="2"/>
      <c r="F211" s="3" t="s">
        <v>276</v>
      </c>
      <c r="G211" s="21">
        <v>41526</v>
      </c>
      <c r="H211" s="50">
        <v>5920000</v>
      </c>
      <c r="I211" s="50">
        <v>5920000</v>
      </c>
      <c r="J211" s="18" t="s">
        <v>278</v>
      </c>
      <c r="K211" s="19"/>
      <c r="L211" s="19"/>
      <c r="M211" s="19"/>
    </row>
    <row r="212" spans="2:13" ht="39.75" customHeight="1">
      <c r="B212" s="3"/>
      <c r="C212" s="3"/>
      <c r="D212" s="2"/>
      <c r="E212" s="2"/>
      <c r="F212" s="3" t="s">
        <v>276</v>
      </c>
      <c r="G212" s="21">
        <v>41526</v>
      </c>
      <c r="H212" s="50">
        <v>4237000</v>
      </c>
      <c r="I212" s="50">
        <v>4237000</v>
      </c>
      <c r="J212" s="18" t="s">
        <v>282</v>
      </c>
      <c r="K212" s="19"/>
      <c r="L212" s="19"/>
      <c r="M212" s="19"/>
    </row>
    <row r="213" spans="2:13" ht="39.75" customHeight="1">
      <c r="B213" s="3"/>
      <c r="C213" s="3"/>
      <c r="D213" s="2"/>
      <c r="E213" s="2"/>
      <c r="F213" s="3" t="s">
        <v>276</v>
      </c>
      <c r="G213" s="21">
        <v>41528</v>
      </c>
      <c r="H213" s="50">
        <v>5932000</v>
      </c>
      <c r="I213" s="76">
        <v>5387352</v>
      </c>
      <c r="J213" s="18" t="s">
        <v>281</v>
      </c>
      <c r="K213" s="19"/>
      <c r="L213" s="19"/>
      <c r="M213" s="19"/>
    </row>
    <row r="214" spans="2:13" ht="39.75" customHeight="1">
      <c r="B214" s="3"/>
      <c r="C214" s="3"/>
      <c r="D214" s="2"/>
      <c r="E214" s="2"/>
      <c r="F214" s="3" t="s">
        <v>276</v>
      </c>
      <c r="G214" s="21">
        <v>41541</v>
      </c>
      <c r="H214" s="50">
        <v>5932000</v>
      </c>
      <c r="I214" s="50">
        <v>5932000</v>
      </c>
      <c r="J214" s="42" t="s">
        <v>279</v>
      </c>
      <c r="K214" s="19"/>
      <c r="L214" s="19"/>
      <c r="M214" s="19"/>
    </row>
    <row r="215" spans="2:13" ht="39.75" customHeight="1">
      <c r="B215" s="3"/>
      <c r="C215" s="3"/>
      <c r="D215" s="2"/>
      <c r="E215" s="2"/>
      <c r="F215" s="3" t="s">
        <v>276</v>
      </c>
      <c r="G215" s="21">
        <v>41541</v>
      </c>
      <c r="H215" s="50">
        <v>5413000</v>
      </c>
      <c r="I215" s="76">
        <v>3297170</v>
      </c>
      <c r="J215" s="18" t="s">
        <v>280</v>
      </c>
      <c r="K215" s="19"/>
      <c r="L215" s="19"/>
      <c r="M215" s="19"/>
    </row>
    <row r="216" spans="2:13" ht="39.75" customHeight="1">
      <c r="B216" s="3"/>
      <c r="C216" s="3"/>
      <c r="D216" s="2"/>
      <c r="E216" s="2"/>
      <c r="F216" s="3" t="s">
        <v>276</v>
      </c>
      <c r="G216" s="21">
        <v>41548</v>
      </c>
      <c r="H216" s="52">
        <v>5374000</v>
      </c>
      <c r="I216" s="52">
        <v>5374000</v>
      </c>
      <c r="J216" s="18" t="s">
        <v>422</v>
      </c>
      <c r="K216" s="19"/>
      <c r="L216" s="19"/>
      <c r="M216" s="19"/>
    </row>
    <row r="217" spans="2:13" ht="39.75" customHeight="1">
      <c r="B217" s="3"/>
      <c r="C217" s="3"/>
      <c r="D217" s="2"/>
      <c r="E217" s="2"/>
      <c r="F217" s="3" t="s">
        <v>276</v>
      </c>
      <c r="G217" s="21">
        <v>41548</v>
      </c>
      <c r="H217" s="52">
        <v>3977000</v>
      </c>
      <c r="I217" s="52">
        <v>3977000</v>
      </c>
      <c r="J217" s="18" t="s">
        <v>423</v>
      </c>
      <c r="K217" s="19"/>
      <c r="L217" s="19"/>
      <c r="M217" s="19"/>
    </row>
    <row r="218" spans="2:13" ht="39.75" customHeight="1">
      <c r="B218" s="3"/>
      <c r="C218" s="3"/>
      <c r="D218" s="2"/>
      <c r="E218" s="2"/>
      <c r="F218" s="3" t="s">
        <v>276</v>
      </c>
      <c r="G218" s="21">
        <v>41554</v>
      </c>
      <c r="H218" s="52">
        <v>8179000</v>
      </c>
      <c r="I218" s="76">
        <v>7978378</v>
      </c>
      <c r="J218" s="42" t="s">
        <v>424</v>
      </c>
      <c r="K218" s="19"/>
      <c r="L218" s="19"/>
      <c r="M218" s="19"/>
    </row>
    <row r="219" spans="2:13" ht="60" customHeight="1">
      <c r="B219" s="3"/>
      <c r="C219" s="3"/>
      <c r="D219" s="2"/>
      <c r="E219" s="2"/>
      <c r="F219" s="3" t="s">
        <v>276</v>
      </c>
      <c r="G219" s="21">
        <v>41563</v>
      </c>
      <c r="H219" s="67">
        <v>2627000</v>
      </c>
      <c r="I219" s="67">
        <v>2627000</v>
      </c>
      <c r="J219" s="1" t="s">
        <v>425</v>
      </c>
      <c r="K219" s="19"/>
      <c r="L219" s="19"/>
      <c r="M219" s="19"/>
    </row>
    <row r="220" spans="2:13" ht="39.75" customHeight="1">
      <c r="B220" s="3"/>
      <c r="C220" s="3"/>
      <c r="D220" s="2"/>
      <c r="E220" s="2"/>
      <c r="F220" s="3" t="s">
        <v>276</v>
      </c>
      <c r="G220" s="21">
        <v>41578</v>
      </c>
      <c r="H220" s="67">
        <v>3779000</v>
      </c>
      <c r="I220" s="76">
        <v>3737290</v>
      </c>
      <c r="J220" s="1" t="s">
        <v>426</v>
      </c>
      <c r="K220" s="19"/>
      <c r="L220" s="19"/>
      <c r="M220" s="19"/>
    </row>
    <row r="221" spans="2:13" ht="39.75" customHeight="1">
      <c r="B221" s="3"/>
      <c r="C221" s="3"/>
      <c r="D221" s="2"/>
      <c r="E221" s="2"/>
      <c r="F221" s="3" t="s">
        <v>427</v>
      </c>
      <c r="G221" s="21">
        <v>41548</v>
      </c>
      <c r="H221" s="67">
        <v>4000000</v>
      </c>
      <c r="I221" s="67">
        <v>4000000</v>
      </c>
      <c r="J221" s="1" t="s">
        <v>428</v>
      </c>
      <c r="K221" s="19"/>
      <c r="L221" s="19"/>
      <c r="M221" s="19"/>
    </row>
    <row r="222" spans="2:13" ht="39.75" customHeight="1">
      <c r="B222" s="3"/>
      <c r="C222" s="3"/>
      <c r="D222" s="2"/>
      <c r="E222" s="2"/>
      <c r="F222" s="3" t="s">
        <v>427</v>
      </c>
      <c r="G222" s="21">
        <v>41592</v>
      </c>
      <c r="H222" s="67">
        <v>3524000</v>
      </c>
      <c r="I222" s="76">
        <v>3297009</v>
      </c>
      <c r="J222" s="1" t="s">
        <v>429</v>
      </c>
      <c r="K222" s="19"/>
      <c r="L222" s="19"/>
      <c r="M222" s="19"/>
    </row>
    <row r="223" spans="2:13" ht="39.75" customHeight="1">
      <c r="B223" s="3"/>
      <c r="C223" s="3"/>
      <c r="D223" s="2"/>
      <c r="E223" s="2"/>
      <c r="F223" s="3" t="s">
        <v>427</v>
      </c>
      <c r="G223" s="21">
        <v>41606</v>
      </c>
      <c r="H223" s="67">
        <v>2485000</v>
      </c>
      <c r="I223" s="76">
        <v>2482464</v>
      </c>
      <c r="J223" s="1" t="s">
        <v>430</v>
      </c>
      <c r="K223" s="19"/>
      <c r="L223" s="19"/>
      <c r="M223" s="19"/>
    </row>
    <row r="224" spans="2:13" ht="39.75" customHeight="1">
      <c r="B224" s="3"/>
      <c r="C224" s="3"/>
      <c r="D224" s="2"/>
      <c r="E224" s="2"/>
      <c r="F224" s="3" t="s">
        <v>427</v>
      </c>
      <c r="G224" s="21">
        <v>41633</v>
      </c>
      <c r="H224" s="67">
        <v>3600000</v>
      </c>
      <c r="I224" s="76">
        <v>2034340</v>
      </c>
      <c r="J224" s="1" t="s">
        <v>431</v>
      </c>
      <c r="K224" s="19"/>
      <c r="L224" s="19"/>
      <c r="M224" s="19"/>
    </row>
    <row r="225" spans="2:13" ht="39.75" customHeight="1">
      <c r="B225" s="3"/>
      <c r="C225" s="3"/>
      <c r="D225" s="2" t="s">
        <v>436</v>
      </c>
      <c r="E225" s="2"/>
      <c r="F225" s="3"/>
      <c r="G225" s="21"/>
      <c r="H225" s="50">
        <f>SUM(H226:H230)</f>
        <v>22670000</v>
      </c>
      <c r="I225" s="50">
        <f>SUM(I226:I230)</f>
        <v>22103000</v>
      </c>
      <c r="J225" s="1"/>
      <c r="K225" s="19"/>
      <c r="L225" s="19"/>
      <c r="M225" s="19"/>
    </row>
    <row r="226" spans="2:13" ht="60" customHeight="1">
      <c r="B226" s="3"/>
      <c r="C226" s="3"/>
      <c r="D226" s="2"/>
      <c r="E226" s="2"/>
      <c r="F226" s="3" t="s">
        <v>276</v>
      </c>
      <c r="G226" s="21">
        <v>41563</v>
      </c>
      <c r="H226" s="67">
        <v>5450000</v>
      </c>
      <c r="I226" s="67">
        <v>5450000</v>
      </c>
      <c r="J226" s="1" t="s">
        <v>425</v>
      </c>
      <c r="K226" s="19"/>
      <c r="L226" s="19"/>
      <c r="M226" s="19"/>
    </row>
    <row r="227" spans="2:13" ht="39.75" customHeight="1">
      <c r="B227" s="3"/>
      <c r="C227" s="3"/>
      <c r="D227" s="2"/>
      <c r="E227" s="2"/>
      <c r="F227" s="3" t="s">
        <v>427</v>
      </c>
      <c r="G227" s="21">
        <v>41555</v>
      </c>
      <c r="H227" s="67">
        <v>4107000</v>
      </c>
      <c r="I227" s="67">
        <v>4107000</v>
      </c>
      <c r="J227" s="18" t="s">
        <v>432</v>
      </c>
      <c r="K227" s="19"/>
      <c r="L227" s="19"/>
      <c r="M227" s="19"/>
    </row>
    <row r="228" spans="2:13" ht="39.75" customHeight="1">
      <c r="B228" s="3"/>
      <c r="C228" s="3"/>
      <c r="D228" s="2"/>
      <c r="E228" s="2"/>
      <c r="F228" s="3" t="s">
        <v>427</v>
      </c>
      <c r="G228" s="21">
        <v>41558</v>
      </c>
      <c r="H228" s="67">
        <v>828000</v>
      </c>
      <c r="I228" s="76">
        <v>789000</v>
      </c>
      <c r="J228" s="18" t="s">
        <v>433</v>
      </c>
      <c r="K228" s="19"/>
      <c r="L228" s="19"/>
      <c r="M228" s="19"/>
    </row>
    <row r="229" spans="2:13" ht="39.75" customHeight="1">
      <c r="B229" s="3"/>
      <c r="C229" s="3"/>
      <c r="D229" s="2"/>
      <c r="E229" s="2"/>
      <c r="F229" s="3" t="s">
        <v>427</v>
      </c>
      <c r="G229" s="21">
        <v>41578</v>
      </c>
      <c r="H229" s="67">
        <v>1210000</v>
      </c>
      <c r="I229" s="67">
        <v>1210000</v>
      </c>
      <c r="J229" s="18" t="s">
        <v>434</v>
      </c>
      <c r="K229" s="19"/>
      <c r="L229" s="19"/>
      <c r="M229" s="19"/>
    </row>
    <row r="230" spans="2:13" ht="39.75" customHeight="1">
      <c r="B230" s="3"/>
      <c r="C230" s="3"/>
      <c r="D230" s="2"/>
      <c r="E230" s="2"/>
      <c r="F230" s="3" t="s">
        <v>427</v>
      </c>
      <c r="G230" s="21">
        <v>41660</v>
      </c>
      <c r="H230" s="67">
        <v>11075000</v>
      </c>
      <c r="I230" s="76">
        <v>10547000</v>
      </c>
      <c r="J230" s="18" t="s">
        <v>435</v>
      </c>
      <c r="K230" s="19"/>
      <c r="L230" s="19"/>
      <c r="M230" s="19"/>
    </row>
    <row r="231" spans="2:13" ht="39.75" customHeight="1">
      <c r="B231" s="3"/>
      <c r="C231" s="2" t="s">
        <v>55</v>
      </c>
      <c r="D231" s="2"/>
      <c r="E231" s="2"/>
      <c r="F231" s="3"/>
      <c r="G231" s="35"/>
      <c r="H231" s="50">
        <f>H232+H239</f>
        <v>2398734536</v>
      </c>
      <c r="I231" s="50">
        <f>I232+I239</f>
        <v>2398734536</v>
      </c>
      <c r="J231" s="18"/>
      <c r="K231" s="19"/>
      <c r="L231" s="19"/>
      <c r="M231" s="19"/>
    </row>
    <row r="232" spans="2:13" ht="39.75" customHeight="1">
      <c r="B232" s="3"/>
      <c r="C232" s="2"/>
      <c r="D232" s="2" t="s">
        <v>56</v>
      </c>
      <c r="E232" s="2"/>
      <c r="F232" s="3"/>
      <c r="G232" s="35"/>
      <c r="H232" s="50">
        <f>SUM(H233:H238)</f>
        <v>842166118</v>
      </c>
      <c r="I232" s="50">
        <f>SUM(I233:I238)</f>
        <v>842166118</v>
      </c>
      <c r="J232" s="18"/>
      <c r="K232" s="19"/>
      <c r="L232" s="19"/>
      <c r="M232" s="19"/>
    </row>
    <row r="233" spans="2:13" ht="39.75" customHeight="1">
      <c r="B233" s="2"/>
      <c r="C233" s="2"/>
      <c r="D233" s="2"/>
      <c r="E233" s="2"/>
      <c r="F233" s="2" t="s">
        <v>316</v>
      </c>
      <c r="G233" s="39">
        <v>41382</v>
      </c>
      <c r="H233" s="44">
        <v>5164000</v>
      </c>
      <c r="I233" s="44">
        <v>5164000</v>
      </c>
      <c r="J233" s="18" t="s">
        <v>26</v>
      </c>
      <c r="K233" s="18"/>
      <c r="L233" s="18"/>
      <c r="M233" s="18"/>
    </row>
    <row r="234" spans="2:13" ht="39.75" customHeight="1">
      <c r="B234" s="2"/>
      <c r="C234" s="2"/>
      <c r="D234" s="2"/>
      <c r="E234" s="2"/>
      <c r="F234" s="2" t="s">
        <v>316</v>
      </c>
      <c r="G234" s="39">
        <v>41404</v>
      </c>
      <c r="H234" s="44">
        <v>2584000</v>
      </c>
      <c r="I234" s="44">
        <v>2584000</v>
      </c>
      <c r="J234" s="18" t="s">
        <v>49</v>
      </c>
      <c r="K234" s="18"/>
      <c r="L234" s="18"/>
      <c r="M234" s="18"/>
    </row>
    <row r="235" spans="2:13" ht="39.75" customHeight="1">
      <c r="B235" s="2"/>
      <c r="C235" s="2"/>
      <c r="D235" s="2"/>
      <c r="E235" s="2"/>
      <c r="F235" s="2" t="s">
        <v>316</v>
      </c>
      <c r="G235" s="13" t="s">
        <v>317</v>
      </c>
      <c r="H235" s="44">
        <v>2344000</v>
      </c>
      <c r="I235" s="44">
        <v>2344000</v>
      </c>
      <c r="J235" s="18" t="s">
        <v>37</v>
      </c>
      <c r="K235" s="18"/>
      <c r="L235" s="18"/>
      <c r="M235" s="18"/>
    </row>
    <row r="236" spans="2:13" ht="39.75" customHeight="1">
      <c r="B236" s="2"/>
      <c r="C236" s="2"/>
      <c r="D236" s="2"/>
      <c r="E236" s="2"/>
      <c r="F236" s="2" t="s">
        <v>316</v>
      </c>
      <c r="G236" s="13">
        <v>41632</v>
      </c>
      <c r="H236" s="44">
        <v>600539155</v>
      </c>
      <c r="I236" s="44">
        <v>600539155</v>
      </c>
      <c r="J236" s="18" t="s">
        <v>26</v>
      </c>
      <c r="K236" s="18"/>
      <c r="L236" s="18"/>
      <c r="M236" s="18"/>
    </row>
    <row r="237" spans="2:13" ht="39.75" customHeight="1">
      <c r="B237" s="2"/>
      <c r="C237" s="2"/>
      <c r="D237" s="2"/>
      <c r="E237" s="2"/>
      <c r="F237" s="2" t="s">
        <v>316</v>
      </c>
      <c r="G237" s="13">
        <v>41646</v>
      </c>
      <c r="H237" s="44">
        <v>116876941</v>
      </c>
      <c r="I237" s="44">
        <v>116876941</v>
      </c>
      <c r="J237" s="18" t="s">
        <v>49</v>
      </c>
      <c r="K237" s="18"/>
      <c r="L237" s="18"/>
      <c r="M237" s="18"/>
    </row>
    <row r="238" spans="2:13" ht="39.75" customHeight="1">
      <c r="B238" s="2"/>
      <c r="C238" s="2"/>
      <c r="D238" s="2"/>
      <c r="E238" s="2"/>
      <c r="F238" s="2" t="s">
        <v>316</v>
      </c>
      <c r="G238" s="13">
        <v>41669</v>
      </c>
      <c r="H238" s="44">
        <v>114658022</v>
      </c>
      <c r="I238" s="44">
        <v>114658022</v>
      </c>
      <c r="J238" s="18" t="s">
        <v>37</v>
      </c>
      <c r="K238" s="18"/>
      <c r="L238" s="18"/>
      <c r="M238" s="18"/>
    </row>
    <row r="239" spans="2:13" ht="39.75" customHeight="1">
      <c r="B239" s="3"/>
      <c r="C239" s="2"/>
      <c r="D239" s="2" t="s">
        <v>57</v>
      </c>
      <c r="E239" s="2"/>
      <c r="F239" s="3"/>
      <c r="G239" s="35"/>
      <c r="H239" s="50">
        <f>SUM(H240:H264)</f>
        <v>1556568418</v>
      </c>
      <c r="I239" s="50">
        <f>SUM(I240:I264)</f>
        <v>1556568418</v>
      </c>
      <c r="J239" s="18"/>
      <c r="K239" s="19"/>
      <c r="L239" s="19"/>
      <c r="M239" s="19"/>
    </row>
    <row r="240" spans="2:13" ht="60" customHeight="1">
      <c r="B240" s="3"/>
      <c r="C240" s="3"/>
      <c r="D240" s="2"/>
      <c r="E240" s="2"/>
      <c r="F240" s="2" t="s">
        <v>57</v>
      </c>
      <c r="G240" s="46" t="s">
        <v>351</v>
      </c>
      <c r="H240" s="68">
        <v>323363305</v>
      </c>
      <c r="I240" s="68">
        <v>323363305</v>
      </c>
      <c r="J240" s="1" t="s">
        <v>58</v>
      </c>
      <c r="K240" s="19"/>
      <c r="L240" s="19"/>
      <c r="M240" s="19"/>
    </row>
    <row r="241" spans="2:13" ht="60" customHeight="1">
      <c r="B241" s="3"/>
      <c r="C241" s="3"/>
      <c r="D241" s="2"/>
      <c r="E241" s="2"/>
      <c r="F241" s="2" t="s">
        <v>57</v>
      </c>
      <c r="G241" s="46" t="s">
        <v>352</v>
      </c>
      <c r="H241" s="68">
        <v>262397700</v>
      </c>
      <c r="I241" s="68">
        <v>262397700</v>
      </c>
      <c r="J241" s="1" t="s">
        <v>67</v>
      </c>
      <c r="K241" s="19"/>
      <c r="L241" s="19"/>
      <c r="M241" s="19"/>
    </row>
    <row r="242" spans="2:13" ht="60" customHeight="1">
      <c r="B242" s="3"/>
      <c r="C242" s="3"/>
      <c r="D242" s="2"/>
      <c r="E242" s="2"/>
      <c r="F242" s="2" t="s">
        <v>57</v>
      </c>
      <c r="G242" s="46" t="s">
        <v>353</v>
      </c>
      <c r="H242" s="68">
        <v>6058500</v>
      </c>
      <c r="I242" s="68">
        <v>6058500</v>
      </c>
      <c r="J242" s="1" t="s">
        <v>59</v>
      </c>
      <c r="K242" s="19"/>
      <c r="L242" s="19"/>
      <c r="M242" s="19"/>
    </row>
    <row r="243" spans="2:13" ht="60" customHeight="1">
      <c r="B243" s="3"/>
      <c r="C243" s="3"/>
      <c r="D243" s="2"/>
      <c r="E243" s="2"/>
      <c r="F243" s="2" t="s">
        <v>57</v>
      </c>
      <c r="G243" s="46" t="s">
        <v>354</v>
      </c>
      <c r="H243" s="68">
        <v>22714000</v>
      </c>
      <c r="I243" s="68">
        <v>22714000</v>
      </c>
      <c r="J243" s="1" t="s">
        <v>60</v>
      </c>
      <c r="K243" s="19"/>
      <c r="L243" s="19"/>
      <c r="M243" s="19"/>
    </row>
    <row r="244" spans="2:13" ht="60" customHeight="1">
      <c r="B244" s="3"/>
      <c r="C244" s="3"/>
      <c r="D244" s="2"/>
      <c r="E244" s="2"/>
      <c r="F244" s="2" t="s">
        <v>57</v>
      </c>
      <c r="G244" s="46" t="s">
        <v>355</v>
      </c>
      <c r="H244" s="68">
        <v>52789500</v>
      </c>
      <c r="I244" s="68">
        <v>52789500</v>
      </c>
      <c r="J244" s="1" t="s">
        <v>61</v>
      </c>
      <c r="K244" s="19"/>
      <c r="L244" s="19"/>
      <c r="M244" s="19"/>
    </row>
    <row r="245" spans="2:13" ht="60" customHeight="1">
      <c r="B245" s="3"/>
      <c r="C245" s="3"/>
      <c r="D245" s="2"/>
      <c r="E245" s="2"/>
      <c r="F245" s="2" t="s">
        <v>57</v>
      </c>
      <c r="G245" s="46" t="s">
        <v>354</v>
      </c>
      <c r="H245" s="68">
        <v>40795000</v>
      </c>
      <c r="I245" s="68">
        <v>40795000</v>
      </c>
      <c r="J245" s="1" t="s">
        <v>62</v>
      </c>
      <c r="K245" s="19"/>
      <c r="L245" s="19"/>
      <c r="M245" s="19"/>
    </row>
    <row r="246" spans="2:13" ht="60" customHeight="1">
      <c r="B246" s="3"/>
      <c r="C246" s="3"/>
      <c r="D246" s="2"/>
      <c r="E246" s="2"/>
      <c r="F246" s="2" t="s">
        <v>57</v>
      </c>
      <c r="G246" s="69" t="s">
        <v>356</v>
      </c>
      <c r="H246" s="70">
        <v>108965500</v>
      </c>
      <c r="I246" s="70">
        <v>108965500</v>
      </c>
      <c r="J246" s="1" t="s">
        <v>63</v>
      </c>
      <c r="K246" s="19"/>
      <c r="L246" s="19"/>
      <c r="M246" s="19"/>
    </row>
    <row r="247" spans="2:13" ht="60" customHeight="1">
      <c r="B247" s="3"/>
      <c r="C247" s="3"/>
      <c r="D247" s="2"/>
      <c r="E247" s="2"/>
      <c r="F247" s="2" t="s">
        <v>57</v>
      </c>
      <c r="G247" s="69" t="s">
        <v>357</v>
      </c>
      <c r="H247" s="68">
        <v>52420500</v>
      </c>
      <c r="I247" s="68">
        <v>52420500</v>
      </c>
      <c r="J247" s="1" t="s">
        <v>64</v>
      </c>
      <c r="K247" s="19"/>
      <c r="L247" s="19"/>
      <c r="M247" s="19"/>
    </row>
    <row r="248" spans="2:13" ht="60" customHeight="1">
      <c r="B248" s="3"/>
      <c r="C248" s="3"/>
      <c r="D248" s="2"/>
      <c r="E248" s="2"/>
      <c r="F248" s="2" t="s">
        <v>57</v>
      </c>
      <c r="G248" s="69" t="s">
        <v>358</v>
      </c>
      <c r="H248" s="68">
        <v>36749500</v>
      </c>
      <c r="I248" s="68">
        <v>36749500</v>
      </c>
      <c r="J248" s="1" t="s">
        <v>65</v>
      </c>
      <c r="K248" s="19"/>
      <c r="L248" s="19"/>
      <c r="M248" s="19"/>
    </row>
    <row r="249" spans="2:13" ht="60" customHeight="1">
      <c r="B249" s="3"/>
      <c r="C249" s="3"/>
      <c r="D249" s="2"/>
      <c r="E249" s="2"/>
      <c r="F249" s="2" t="s">
        <v>57</v>
      </c>
      <c r="G249" s="69" t="s">
        <v>359</v>
      </c>
      <c r="H249" s="68">
        <v>9885000</v>
      </c>
      <c r="I249" s="68">
        <v>9885000</v>
      </c>
      <c r="J249" s="1" t="s">
        <v>301</v>
      </c>
      <c r="K249" s="19"/>
      <c r="L249" s="19"/>
      <c r="M249" s="19"/>
    </row>
    <row r="250" spans="2:13" ht="60" customHeight="1">
      <c r="B250" s="3"/>
      <c r="C250" s="3"/>
      <c r="D250" s="2"/>
      <c r="E250" s="2"/>
      <c r="F250" s="2" t="s">
        <v>57</v>
      </c>
      <c r="G250" s="69" t="s">
        <v>356</v>
      </c>
      <c r="H250" s="68">
        <v>60533000</v>
      </c>
      <c r="I250" s="68">
        <v>60533000</v>
      </c>
      <c r="J250" s="1" t="s">
        <v>66</v>
      </c>
      <c r="K250" s="19"/>
      <c r="L250" s="19"/>
      <c r="M250" s="19"/>
    </row>
    <row r="251" spans="2:13" ht="330" customHeight="1">
      <c r="B251" s="3"/>
      <c r="C251" s="3"/>
      <c r="D251" s="2"/>
      <c r="E251" s="2"/>
      <c r="F251" s="2" t="s">
        <v>57</v>
      </c>
      <c r="G251" s="69" t="s">
        <v>360</v>
      </c>
      <c r="H251" s="68">
        <v>300538680</v>
      </c>
      <c r="I251" s="68">
        <v>300538680</v>
      </c>
      <c r="J251" s="1" t="s">
        <v>361</v>
      </c>
      <c r="K251" s="19"/>
      <c r="L251" s="19"/>
      <c r="M251" s="19"/>
    </row>
    <row r="252" spans="2:13" ht="60" customHeight="1">
      <c r="B252" s="3"/>
      <c r="C252" s="3"/>
      <c r="D252" s="2"/>
      <c r="E252" s="2"/>
      <c r="F252" s="2" t="s">
        <v>57</v>
      </c>
      <c r="G252" s="45">
        <v>41436</v>
      </c>
      <c r="H252" s="72">
        <v>16374000</v>
      </c>
      <c r="I252" s="83">
        <v>16374000</v>
      </c>
      <c r="J252" s="1" t="s">
        <v>68</v>
      </c>
      <c r="K252" s="19"/>
      <c r="L252" s="19"/>
      <c r="M252" s="19"/>
    </row>
    <row r="253" spans="2:13" ht="39.75" customHeight="1">
      <c r="B253" s="3"/>
      <c r="C253" s="3"/>
      <c r="D253" s="2"/>
      <c r="E253" s="2"/>
      <c r="F253" s="2" t="s">
        <v>57</v>
      </c>
      <c r="G253" s="46" t="s">
        <v>362</v>
      </c>
      <c r="H253" s="73">
        <v>1860000</v>
      </c>
      <c r="I253" s="84">
        <v>1860000</v>
      </c>
      <c r="J253" s="1" t="s">
        <v>26</v>
      </c>
      <c r="K253" s="19"/>
      <c r="L253" s="19"/>
      <c r="M253" s="19"/>
    </row>
    <row r="254" spans="2:13" ht="39.75" customHeight="1">
      <c r="B254" s="3"/>
      <c r="C254" s="3"/>
      <c r="D254" s="2"/>
      <c r="E254" s="2"/>
      <c r="F254" s="2" t="s">
        <v>57</v>
      </c>
      <c r="G254" s="45">
        <v>41449</v>
      </c>
      <c r="H254" s="53">
        <v>2991000</v>
      </c>
      <c r="I254" s="85">
        <v>2991000</v>
      </c>
      <c r="J254" s="1" t="s">
        <v>37</v>
      </c>
      <c r="K254" s="19"/>
      <c r="L254" s="19"/>
      <c r="M254" s="19"/>
    </row>
    <row r="255" spans="2:13" ht="60" customHeight="1">
      <c r="B255" s="3"/>
      <c r="C255" s="3"/>
      <c r="D255" s="2"/>
      <c r="E255" s="2"/>
      <c r="F255" s="2" t="s">
        <v>57</v>
      </c>
      <c r="G255" s="45">
        <v>41453</v>
      </c>
      <c r="H255" s="53">
        <v>4354000</v>
      </c>
      <c r="I255" s="85">
        <v>4354000</v>
      </c>
      <c r="J255" s="1" t="s">
        <v>302</v>
      </c>
      <c r="K255" s="19"/>
      <c r="L255" s="19"/>
      <c r="M255" s="19"/>
    </row>
    <row r="256" spans="2:13" ht="60" customHeight="1">
      <c r="B256" s="3"/>
      <c r="C256" s="3"/>
      <c r="D256" s="2"/>
      <c r="E256" s="2"/>
      <c r="F256" s="2" t="s">
        <v>57</v>
      </c>
      <c r="G256" s="46" t="s">
        <v>363</v>
      </c>
      <c r="H256" s="68">
        <v>35716000</v>
      </c>
      <c r="I256" s="82">
        <v>35716000</v>
      </c>
      <c r="J256" s="1" t="s">
        <v>303</v>
      </c>
      <c r="K256" s="19"/>
      <c r="L256" s="19"/>
      <c r="M256" s="19"/>
    </row>
    <row r="257" spans="2:13" ht="60" customHeight="1">
      <c r="B257" s="3"/>
      <c r="C257" s="3"/>
      <c r="D257" s="2"/>
      <c r="E257" s="2"/>
      <c r="F257" s="2" t="s">
        <v>57</v>
      </c>
      <c r="G257" s="46" t="s">
        <v>364</v>
      </c>
      <c r="H257" s="74">
        <v>22635000</v>
      </c>
      <c r="I257" s="74">
        <v>22635000</v>
      </c>
      <c r="J257" s="1" t="s">
        <v>365</v>
      </c>
      <c r="K257" s="19"/>
      <c r="L257" s="19"/>
      <c r="M257" s="19"/>
    </row>
    <row r="258" spans="2:13" ht="60" customHeight="1">
      <c r="B258" s="3"/>
      <c r="C258" s="3"/>
      <c r="D258" s="2"/>
      <c r="E258" s="2"/>
      <c r="F258" s="2" t="s">
        <v>57</v>
      </c>
      <c r="G258" s="46" t="s">
        <v>366</v>
      </c>
      <c r="H258" s="74">
        <v>23492000</v>
      </c>
      <c r="I258" s="74">
        <v>23492000</v>
      </c>
      <c r="J258" s="1" t="s">
        <v>367</v>
      </c>
      <c r="K258" s="19"/>
      <c r="L258" s="19"/>
      <c r="M258" s="19"/>
    </row>
    <row r="259" spans="2:13" ht="60" customHeight="1">
      <c r="B259" s="3"/>
      <c r="C259" s="3"/>
      <c r="D259" s="2"/>
      <c r="E259" s="2"/>
      <c r="F259" s="2" t="s">
        <v>57</v>
      </c>
      <c r="G259" s="46">
        <v>41487</v>
      </c>
      <c r="H259" s="53">
        <v>12128000</v>
      </c>
      <c r="I259" s="53">
        <v>12128000</v>
      </c>
      <c r="J259" s="1" t="s">
        <v>304</v>
      </c>
      <c r="K259" s="19"/>
      <c r="L259" s="19"/>
      <c r="M259" s="19"/>
    </row>
    <row r="260" spans="2:13" ht="60" customHeight="1">
      <c r="B260" s="3"/>
      <c r="C260" s="3"/>
      <c r="D260" s="2"/>
      <c r="E260" s="2"/>
      <c r="F260" s="2" t="s">
        <v>57</v>
      </c>
      <c r="G260" s="46" t="s">
        <v>368</v>
      </c>
      <c r="H260" s="74">
        <v>3060000</v>
      </c>
      <c r="I260" s="74">
        <v>3060000</v>
      </c>
      <c r="J260" s="1" t="s">
        <v>369</v>
      </c>
      <c r="K260" s="19"/>
      <c r="L260" s="19"/>
      <c r="M260" s="19"/>
    </row>
    <row r="261" spans="2:13" ht="60" customHeight="1">
      <c r="B261" s="3"/>
      <c r="C261" s="3"/>
      <c r="D261" s="2"/>
      <c r="E261" s="2"/>
      <c r="F261" s="2" t="s">
        <v>57</v>
      </c>
      <c r="G261" s="46" t="s">
        <v>370</v>
      </c>
      <c r="H261" s="68">
        <v>3596293</v>
      </c>
      <c r="I261" s="68">
        <v>3596293</v>
      </c>
      <c r="J261" s="1" t="s">
        <v>49</v>
      </c>
      <c r="K261" s="19"/>
      <c r="L261" s="19"/>
      <c r="M261" s="19"/>
    </row>
    <row r="262" spans="2:13" ht="60" customHeight="1">
      <c r="B262" s="3"/>
      <c r="C262" s="3"/>
      <c r="D262" s="2"/>
      <c r="E262" s="2"/>
      <c r="F262" s="2" t="s">
        <v>57</v>
      </c>
      <c r="G262" s="46" t="s">
        <v>371</v>
      </c>
      <c r="H262" s="53">
        <v>72202000</v>
      </c>
      <c r="I262" s="53">
        <v>72202000</v>
      </c>
      <c r="J262" s="1" t="s">
        <v>372</v>
      </c>
      <c r="K262" s="19"/>
      <c r="L262" s="19"/>
      <c r="M262" s="19"/>
    </row>
    <row r="263" spans="2:13" ht="199.5" customHeight="1">
      <c r="B263" s="3"/>
      <c r="C263" s="3"/>
      <c r="D263" s="2"/>
      <c r="E263" s="2"/>
      <c r="F263" s="2" t="s">
        <v>57</v>
      </c>
      <c r="G263" s="46" t="s">
        <v>373</v>
      </c>
      <c r="H263" s="74">
        <v>43821940</v>
      </c>
      <c r="I263" s="74">
        <v>43821940</v>
      </c>
      <c r="J263" s="1" t="s">
        <v>374</v>
      </c>
      <c r="K263" s="19"/>
      <c r="L263" s="19"/>
      <c r="M263" s="19"/>
    </row>
    <row r="264" spans="2:13" ht="60" customHeight="1">
      <c r="B264" s="3"/>
      <c r="C264" s="3"/>
      <c r="D264" s="2"/>
      <c r="E264" s="2"/>
      <c r="F264" s="2" t="s">
        <v>57</v>
      </c>
      <c r="G264" s="46" t="s">
        <v>375</v>
      </c>
      <c r="H264" s="68">
        <v>37128000</v>
      </c>
      <c r="I264" s="68">
        <v>37128000</v>
      </c>
      <c r="J264" s="1" t="s">
        <v>376</v>
      </c>
      <c r="K264" s="19"/>
      <c r="L264" s="19"/>
      <c r="M264" s="19"/>
    </row>
    <row r="265" spans="2:13" ht="39.75" customHeight="1">
      <c r="B265" s="3"/>
      <c r="C265" s="2" t="s">
        <v>33</v>
      </c>
      <c r="D265" s="2"/>
      <c r="E265" s="2"/>
      <c r="F265" s="3"/>
      <c r="G265" s="35"/>
      <c r="H265" s="50">
        <f>H266+H270+H284</f>
        <v>12242892377</v>
      </c>
      <c r="I265" s="50">
        <f>I266+I270+I284</f>
        <v>8959037812</v>
      </c>
      <c r="J265" s="18"/>
      <c r="K265" s="19"/>
      <c r="L265" s="19"/>
      <c r="M265" s="19"/>
    </row>
    <row r="266" spans="2:13" ht="39.75" customHeight="1">
      <c r="B266" s="3"/>
      <c r="C266" s="2"/>
      <c r="D266" s="2" t="s">
        <v>69</v>
      </c>
      <c r="E266" s="2"/>
      <c r="F266" s="3"/>
      <c r="G266" s="35"/>
      <c r="H266" s="50">
        <f>H267</f>
        <v>30000000</v>
      </c>
      <c r="I266" s="50">
        <f>I267</f>
        <v>27500000</v>
      </c>
      <c r="J266" s="18"/>
      <c r="K266" s="19"/>
      <c r="L266" s="19"/>
      <c r="M266" s="19"/>
    </row>
    <row r="267" spans="2:13" ht="39.75" customHeight="1">
      <c r="B267" s="3"/>
      <c r="C267" s="2"/>
      <c r="D267" s="2"/>
      <c r="E267" s="2" t="s">
        <v>69</v>
      </c>
      <c r="F267" s="3"/>
      <c r="G267" s="35"/>
      <c r="H267" s="50">
        <f>SUM(H268:H269)</f>
        <v>30000000</v>
      </c>
      <c r="I267" s="50">
        <f>SUM(I268:I269)</f>
        <v>27500000</v>
      </c>
      <c r="J267" s="18"/>
      <c r="K267" s="19"/>
      <c r="L267" s="19"/>
      <c r="M267" s="19"/>
    </row>
    <row r="268" spans="2:13" ht="39.75" customHeight="1">
      <c r="B268" s="3"/>
      <c r="C268" s="3"/>
      <c r="D268" s="2"/>
      <c r="E268" s="2"/>
      <c r="F268" s="3" t="s">
        <v>136</v>
      </c>
      <c r="G268" s="12">
        <v>41355</v>
      </c>
      <c r="H268" s="50">
        <v>18000000</v>
      </c>
      <c r="I268" s="50">
        <v>18000000</v>
      </c>
      <c r="J268" s="19" t="s">
        <v>37</v>
      </c>
      <c r="K268" s="19"/>
      <c r="L268" s="19"/>
      <c r="M268" s="19" t="s">
        <v>27</v>
      </c>
    </row>
    <row r="269" spans="2:13" ht="39.75" customHeight="1">
      <c r="B269" s="3"/>
      <c r="C269" s="3"/>
      <c r="D269" s="2"/>
      <c r="E269" s="2"/>
      <c r="F269" s="3" t="s">
        <v>136</v>
      </c>
      <c r="G269" s="12">
        <v>41445</v>
      </c>
      <c r="H269" s="50">
        <v>12000000</v>
      </c>
      <c r="I269" s="76">
        <v>9500000</v>
      </c>
      <c r="J269" s="19" t="s">
        <v>37</v>
      </c>
      <c r="K269" s="19"/>
      <c r="L269" s="19"/>
      <c r="M269" s="18" t="s">
        <v>543</v>
      </c>
    </row>
    <row r="270" spans="2:13" ht="39.75" customHeight="1">
      <c r="B270" s="3"/>
      <c r="C270" s="2"/>
      <c r="D270" s="2" t="s">
        <v>38</v>
      </c>
      <c r="E270" s="2"/>
      <c r="F270" s="3"/>
      <c r="G270" s="35"/>
      <c r="H270" s="50">
        <f>H271</f>
        <v>10055467377</v>
      </c>
      <c r="I270" s="50">
        <f>I271</f>
        <v>8931537812</v>
      </c>
      <c r="J270" s="18"/>
      <c r="K270" s="19"/>
      <c r="L270" s="19"/>
      <c r="M270" s="19"/>
    </row>
    <row r="271" spans="2:13" ht="39.75" customHeight="1">
      <c r="B271" s="19"/>
      <c r="C271" s="18"/>
      <c r="D271" s="2"/>
      <c r="E271" s="2" t="s">
        <v>38</v>
      </c>
      <c r="F271" s="3"/>
      <c r="G271" s="35"/>
      <c r="H271" s="50">
        <f>SUM(H272:H283)</f>
        <v>10055467377</v>
      </c>
      <c r="I271" s="50">
        <f>SUM(I272:I283)</f>
        <v>8931537812</v>
      </c>
      <c r="J271" s="18"/>
      <c r="K271" s="19"/>
      <c r="L271" s="19"/>
      <c r="M271" s="19"/>
    </row>
    <row r="272" spans="2:13" ht="60" customHeight="1">
      <c r="B272" s="3"/>
      <c r="C272" s="3"/>
      <c r="D272" s="2"/>
      <c r="E272" s="2"/>
      <c r="F272" s="3" t="s">
        <v>39</v>
      </c>
      <c r="G272" s="17" t="s">
        <v>585</v>
      </c>
      <c r="H272" s="50">
        <f>3296944782-8892</f>
        <v>3296935890</v>
      </c>
      <c r="I272" s="50">
        <f>3296944782-8892</f>
        <v>3296935890</v>
      </c>
      <c r="J272" s="19" t="s">
        <v>49</v>
      </c>
      <c r="K272" s="19"/>
      <c r="L272" s="19"/>
      <c r="M272" s="19" t="s">
        <v>27</v>
      </c>
    </row>
    <row r="273" spans="2:13" ht="75" customHeight="1">
      <c r="B273" s="3"/>
      <c r="C273" s="3"/>
      <c r="D273" s="2"/>
      <c r="E273" s="2"/>
      <c r="F273" s="3" t="s">
        <v>39</v>
      </c>
      <c r="G273" s="17" t="s">
        <v>584</v>
      </c>
      <c r="H273" s="50">
        <f>516733400-2048173</f>
        <v>514685227</v>
      </c>
      <c r="I273" s="50">
        <v>496402155</v>
      </c>
      <c r="J273" s="19" t="s">
        <v>26</v>
      </c>
      <c r="K273" s="19"/>
      <c r="L273" s="75"/>
      <c r="M273" s="18" t="s">
        <v>578</v>
      </c>
    </row>
    <row r="274" spans="2:13" ht="60" customHeight="1">
      <c r="B274" s="3"/>
      <c r="C274" s="3"/>
      <c r="D274" s="2"/>
      <c r="E274" s="2"/>
      <c r="F274" s="3" t="s">
        <v>39</v>
      </c>
      <c r="G274" s="17" t="s">
        <v>586</v>
      </c>
      <c r="H274" s="50">
        <f>681174000-160591919</f>
        <v>520582081</v>
      </c>
      <c r="I274" s="50">
        <f>681174000-160591919</f>
        <v>520582081</v>
      </c>
      <c r="J274" s="19" t="s">
        <v>37</v>
      </c>
      <c r="K274" s="19"/>
      <c r="L274" s="19"/>
      <c r="M274" s="19" t="s">
        <v>27</v>
      </c>
    </row>
    <row r="275" spans="2:13" ht="120" customHeight="1">
      <c r="B275" s="3"/>
      <c r="C275" s="3"/>
      <c r="D275" s="2"/>
      <c r="E275" s="2"/>
      <c r="F275" s="3" t="s">
        <v>39</v>
      </c>
      <c r="G275" s="40" t="s">
        <v>587</v>
      </c>
      <c r="H275" s="50">
        <f>96700000+1642500000+27000000+4250000+184750000+43000000-45150000+4500000+7142000-6001-5383</f>
        <v>1964680616</v>
      </c>
      <c r="I275" s="76">
        <v>1522004063</v>
      </c>
      <c r="J275" s="19" t="s">
        <v>49</v>
      </c>
      <c r="K275" s="19"/>
      <c r="L275" s="19"/>
      <c r="M275" s="18" t="s">
        <v>572</v>
      </c>
    </row>
    <row r="276" spans="2:13" ht="60" customHeight="1">
      <c r="B276" s="3"/>
      <c r="C276" s="3"/>
      <c r="D276" s="2"/>
      <c r="E276" s="2"/>
      <c r="F276" s="3" t="s">
        <v>39</v>
      </c>
      <c r="G276" s="40" t="s">
        <v>588</v>
      </c>
      <c r="H276" s="50">
        <f>83613000+328047000+43127000-450-3101</f>
        <v>454783449</v>
      </c>
      <c r="I276" s="50">
        <v>179605788</v>
      </c>
      <c r="J276" s="19" t="s">
        <v>26</v>
      </c>
      <c r="K276" s="19"/>
      <c r="L276" s="19"/>
      <c r="M276" s="18" t="s">
        <v>577</v>
      </c>
    </row>
    <row r="277" spans="2:13" ht="90" customHeight="1">
      <c r="B277" s="3"/>
      <c r="C277" s="3"/>
      <c r="D277" s="2"/>
      <c r="E277" s="2"/>
      <c r="F277" s="3" t="s">
        <v>39</v>
      </c>
      <c r="G277" s="40" t="s">
        <v>589</v>
      </c>
      <c r="H277" s="50">
        <f>234100000+53000000+67500000-3900000+24323000-24323000-47718285</f>
        <v>302981715</v>
      </c>
      <c r="I277" s="76">
        <v>251318715</v>
      </c>
      <c r="J277" s="19" t="s">
        <v>37</v>
      </c>
      <c r="K277" s="19"/>
      <c r="L277" s="19"/>
      <c r="M277" s="18" t="s">
        <v>575</v>
      </c>
    </row>
    <row r="278" spans="2:13" ht="60" customHeight="1">
      <c r="B278" s="3"/>
      <c r="C278" s="3"/>
      <c r="D278" s="2"/>
      <c r="E278" s="2"/>
      <c r="F278" s="3" t="s">
        <v>137</v>
      </c>
      <c r="G278" s="13" t="s">
        <v>590</v>
      </c>
      <c r="H278" s="50">
        <f>324815000-26459746</f>
        <v>298355254</v>
      </c>
      <c r="I278" s="50">
        <v>271987754</v>
      </c>
      <c r="J278" s="19" t="s">
        <v>26</v>
      </c>
      <c r="K278" s="19"/>
      <c r="L278" s="75"/>
      <c r="M278" s="18" t="s">
        <v>579</v>
      </c>
    </row>
    <row r="279" spans="2:13" ht="39.75" customHeight="1">
      <c r="B279" s="3"/>
      <c r="C279" s="3"/>
      <c r="D279" s="2"/>
      <c r="E279" s="2"/>
      <c r="F279" s="3" t="s">
        <v>138</v>
      </c>
      <c r="G279" s="13" t="s">
        <v>591</v>
      </c>
      <c r="H279" s="50">
        <f>1188800000-4799</f>
        <v>1188795201</v>
      </c>
      <c r="I279" s="50">
        <f>1188800000-4799</f>
        <v>1188795201</v>
      </c>
      <c r="J279" s="19" t="s">
        <v>49</v>
      </c>
      <c r="K279" s="19"/>
      <c r="L279" s="19"/>
      <c r="M279" s="19" t="s">
        <v>27</v>
      </c>
    </row>
    <row r="280" spans="2:13" ht="39.75" customHeight="1">
      <c r="B280" s="3"/>
      <c r="C280" s="3"/>
      <c r="D280" s="2"/>
      <c r="E280" s="2"/>
      <c r="F280" s="3" t="s">
        <v>138</v>
      </c>
      <c r="G280" s="12">
        <v>41348</v>
      </c>
      <c r="H280" s="50">
        <v>85500000</v>
      </c>
      <c r="I280" s="50">
        <v>85500000</v>
      </c>
      <c r="J280" s="19" t="s">
        <v>37</v>
      </c>
      <c r="K280" s="19"/>
      <c r="L280" s="19"/>
      <c r="M280" s="19" t="s">
        <v>27</v>
      </c>
    </row>
    <row r="281" spans="2:13" ht="120" customHeight="1">
      <c r="B281" s="3"/>
      <c r="C281" s="3"/>
      <c r="D281" s="2"/>
      <c r="E281" s="2"/>
      <c r="F281" s="3" t="s">
        <v>138</v>
      </c>
      <c r="G281" s="40" t="s">
        <v>587</v>
      </c>
      <c r="H281" s="50">
        <f>678200000+233750000-27000000-4250000+66000000-43000000+45150000-58000000+46358000+2951000-2951000-5112-3569</f>
        <v>937199319</v>
      </c>
      <c r="I281" s="50">
        <v>794931727</v>
      </c>
      <c r="J281" s="19" t="s">
        <v>49</v>
      </c>
      <c r="K281" s="19"/>
      <c r="L281" s="19"/>
      <c r="M281" s="18" t="s">
        <v>573</v>
      </c>
    </row>
    <row r="282" spans="2:13" ht="75" customHeight="1">
      <c r="B282" s="3"/>
      <c r="C282" s="3"/>
      <c r="D282" s="2"/>
      <c r="E282" s="2"/>
      <c r="F282" s="3" t="s">
        <v>137</v>
      </c>
      <c r="G282" s="40" t="s">
        <v>592</v>
      </c>
      <c r="H282" s="50">
        <f>50185000+289605000+2680000-33357000-91972-2403</f>
        <v>309018625</v>
      </c>
      <c r="I282" s="50">
        <v>165174438</v>
      </c>
      <c r="J282" s="19" t="s">
        <v>26</v>
      </c>
      <c r="K282" s="19"/>
      <c r="L282" s="19"/>
      <c r="M282" s="18" t="s">
        <v>576</v>
      </c>
    </row>
    <row r="283" spans="2:13" ht="75" customHeight="1">
      <c r="B283" s="3"/>
      <c r="C283" s="3"/>
      <c r="D283" s="2"/>
      <c r="E283" s="2"/>
      <c r="F283" s="3" t="s">
        <v>138</v>
      </c>
      <c r="G283" s="40" t="s">
        <v>593</v>
      </c>
      <c r="H283" s="50">
        <f>166050000+39500000-27500000+3900000+37575000-37575000</f>
        <v>181950000</v>
      </c>
      <c r="I283" s="76">
        <v>158300000</v>
      </c>
      <c r="J283" s="19" t="s">
        <v>37</v>
      </c>
      <c r="K283" s="19"/>
      <c r="L283" s="19"/>
      <c r="M283" s="18" t="s">
        <v>574</v>
      </c>
    </row>
    <row r="284" spans="2:13" ht="39.75" customHeight="1">
      <c r="B284" s="3"/>
      <c r="C284" s="2"/>
      <c r="D284" s="2" t="s">
        <v>336</v>
      </c>
      <c r="E284" s="2"/>
      <c r="F284" s="19"/>
      <c r="G284" s="21"/>
      <c r="H284" s="50">
        <f>H285+H286</f>
        <v>2157425000</v>
      </c>
      <c r="I284" s="81">
        <f>I285+I286</f>
        <v>0</v>
      </c>
      <c r="J284" s="2"/>
      <c r="K284" s="19"/>
      <c r="L284" s="19"/>
      <c r="M284" s="19"/>
    </row>
    <row r="285" spans="2:13" ht="39.75" customHeight="1">
      <c r="B285" s="3"/>
      <c r="C285" s="2"/>
      <c r="D285" s="2"/>
      <c r="E285" s="2" t="s">
        <v>336</v>
      </c>
      <c r="F285" s="19" t="s">
        <v>138</v>
      </c>
      <c r="G285" s="21">
        <v>41710</v>
      </c>
      <c r="H285" s="50">
        <v>188725000</v>
      </c>
      <c r="I285" s="47">
        <v>0</v>
      </c>
      <c r="J285" s="2" t="s">
        <v>37</v>
      </c>
      <c r="K285" s="19"/>
      <c r="L285" s="19"/>
      <c r="M285" s="18" t="s">
        <v>544</v>
      </c>
    </row>
    <row r="286" spans="2:13" ht="39.75" customHeight="1">
      <c r="B286" s="3"/>
      <c r="C286" s="2"/>
      <c r="D286" s="2"/>
      <c r="E286" s="2"/>
      <c r="F286" s="19" t="s">
        <v>137</v>
      </c>
      <c r="G286" s="21">
        <v>41711</v>
      </c>
      <c r="H286" s="50">
        <v>1968700000</v>
      </c>
      <c r="I286" s="47">
        <v>0</v>
      </c>
      <c r="J286" s="2" t="s">
        <v>49</v>
      </c>
      <c r="K286" s="19"/>
      <c r="L286" s="19"/>
      <c r="M286" s="18" t="s">
        <v>545</v>
      </c>
    </row>
    <row r="287" spans="2:13" ht="60" customHeight="1">
      <c r="B287" s="3"/>
      <c r="C287" s="2" t="s">
        <v>155</v>
      </c>
      <c r="D287" s="2"/>
      <c r="E287" s="2"/>
      <c r="F287" s="18"/>
      <c r="G287" s="12"/>
      <c r="H287" s="50">
        <f>SUM(H288)</f>
        <v>714643234</v>
      </c>
      <c r="I287" s="50">
        <f>SUM(I288)</f>
        <v>714643234</v>
      </c>
      <c r="J287" s="18"/>
      <c r="K287" s="19"/>
      <c r="L287" s="19"/>
      <c r="M287" s="19"/>
    </row>
    <row r="288" spans="2:13" ht="60" customHeight="1">
      <c r="B288" s="3"/>
      <c r="C288" s="2"/>
      <c r="D288" s="2" t="s">
        <v>139</v>
      </c>
      <c r="E288" s="2"/>
      <c r="F288" s="18"/>
      <c r="G288" s="12"/>
      <c r="H288" s="50">
        <f>SUM(H289)</f>
        <v>714643234</v>
      </c>
      <c r="I288" s="50">
        <f>SUM(I289)</f>
        <v>714643234</v>
      </c>
      <c r="J288" s="18"/>
      <c r="K288" s="19"/>
      <c r="L288" s="19"/>
      <c r="M288" s="19"/>
    </row>
    <row r="289" spans="2:13" ht="60" customHeight="1">
      <c r="B289" s="3"/>
      <c r="C289" s="2"/>
      <c r="D289" s="2"/>
      <c r="E289" s="2" t="s">
        <v>139</v>
      </c>
      <c r="F289" s="18"/>
      <c r="G289" s="12"/>
      <c r="H289" s="50">
        <f>SUM(H290:H291)</f>
        <v>714643234</v>
      </c>
      <c r="I289" s="50">
        <f>SUM(I290:I291)</f>
        <v>714643234</v>
      </c>
      <c r="J289" s="18"/>
      <c r="K289" s="19"/>
      <c r="L289" s="19"/>
      <c r="M289" s="19"/>
    </row>
    <row r="290" spans="2:13" ht="51.75" customHeight="1">
      <c r="B290" s="3"/>
      <c r="C290" s="2"/>
      <c r="D290" s="2"/>
      <c r="E290" s="2"/>
      <c r="F290" s="2" t="s">
        <v>140</v>
      </c>
      <c r="G290" s="13" t="s">
        <v>420</v>
      </c>
      <c r="H290" s="52">
        <f>234980444-137210</f>
        <v>234843234</v>
      </c>
      <c r="I290" s="52">
        <f>234980444-137210</f>
        <v>234843234</v>
      </c>
      <c r="J290" s="18" t="s">
        <v>141</v>
      </c>
      <c r="K290" s="19"/>
      <c r="L290" s="19"/>
      <c r="M290" s="19" t="s">
        <v>48</v>
      </c>
    </row>
    <row r="291" spans="2:13" ht="90" customHeight="1">
      <c r="B291" s="3"/>
      <c r="C291" s="3"/>
      <c r="D291" s="2"/>
      <c r="E291" s="2"/>
      <c r="F291" s="2" t="s">
        <v>140</v>
      </c>
      <c r="G291" s="13" t="s">
        <v>156</v>
      </c>
      <c r="H291" s="50">
        <v>479800000</v>
      </c>
      <c r="I291" s="50">
        <v>479800000</v>
      </c>
      <c r="J291" s="18" t="s">
        <v>37</v>
      </c>
      <c r="K291" s="19"/>
      <c r="L291" s="19"/>
      <c r="M291" s="19" t="s">
        <v>48</v>
      </c>
    </row>
    <row r="292" spans="2:13" ht="39.75" customHeight="1">
      <c r="B292" s="3"/>
      <c r="C292" s="2" t="s">
        <v>70</v>
      </c>
      <c r="D292" s="2"/>
      <c r="E292" s="2"/>
      <c r="F292" s="3"/>
      <c r="G292" s="35"/>
      <c r="H292" s="50">
        <f>H293</f>
        <v>9584779397</v>
      </c>
      <c r="I292" s="50">
        <f>I293</f>
        <v>7517408594</v>
      </c>
      <c r="J292" s="18"/>
      <c r="K292" s="19"/>
      <c r="L292" s="19"/>
      <c r="M292" s="19"/>
    </row>
    <row r="293" spans="2:13" ht="39.75" customHeight="1">
      <c r="B293" s="3"/>
      <c r="C293" s="2"/>
      <c r="D293" s="2" t="s">
        <v>71</v>
      </c>
      <c r="E293" s="2"/>
      <c r="F293" s="3"/>
      <c r="G293" s="35"/>
      <c r="H293" s="50">
        <f>H294</f>
        <v>9584779397</v>
      </c>
      <c r="I293" s="50">
        <f>I294</f>
        <v>7517408594</v>
      </c>
      <c r="J293" s="18"/>
      <c r="K293" s="19"/>
      <c r="L293" s="19"/>
      <c r="M293" s="19"/>
    </row>
    <row r="294" spans="2:13" ht="39.75" customHeight="1">
      <c r="B294" s="3"/>
      <c r="C294" s="2"/>
      <c r="D294" s="2"/>
      <c r="E294" s="2" t="s">
        <v>71</v>
      </c>
      <c r="F294" s="3"/>
      <c r="G294" s="35"/>
      <c r="H294" s="50">
        <f>SUM(H295:H386)</f>
        <v>9584779397</v>
      </c>
      <c r="I294" s="50">
        <f>SUM(I295:I386)</f>
        <v>7517408594</v>
      </c>
      <c r="J294" s="18"/>
      <c r="K294" s="19"/>
      <c r="L294" s="19"/>
      <c r="M294" s="19"/>
    </row>
    <row r="295" spans="2:13" ht="39.75" customHeight="1">
      <c r="B295" s="3"/>
      <c r="C295" s="2"/>
      <c r="D295" s="2"/>
      <c r="E295" s="2"/>
      <c r="F295" s="18" t="s">
        <v>167</v>
      </c>
      <c r="G295" s="40" t="s">
        <v>330</v>
      </c>
      <c r="H295" s="55">
        <v>380723545</v>
      </c>
      <c r="I295" s="55">
        <v>380723545</v>
      </c>
      <c r="J295" s="19" t="s">
        <v>26</v>
      </c>
      <c r="K295" s="19"/>
      <c r="L295" s="19"/>
      <c r="M295" s="19" t="s">
        <v>168</v>
      </c>
    </row>
    <row r="296" spans="2:13" ht="39.75" customHeight="1">
      <c r="B296" s="3"/>
      <c r="C296" s="2"/>
      <c r="D296" s="2"/>
      <c r="E296" s="2"/>
      <c r="F296" s="18" t="s">
        <v>167</v>
      </c>
      <c r="G296" s="40" t="s">
        <v>331</v>
      </c>
      <c r="H296" s="55">
        <v>927486200</v>
      </c>
      <c r="I296" s="55">
        <v>927486200</v>
      </c>
      <c r="J296" s="19" t="s">
        <v>49</v>
      </c>
      <c r="K296" s="19"/>
      <c r="L296" s="19"/>
      <c r="M296" s="19" t="s">
        <v>168</v>
      </c>
    </row>
    <row r="297" spans="2:13" ht="39.75" customHeight="1">
      <c r="B297" s="3"/>
      <c r="C297" s="2"/>
      <c r="D297" s="2"/>
      <c r="E297" s="2"/>
      <c r="F297" s="18" t="s">
        <v>167</v>
      </c>
      <c r="G297" s="40" t="s">
        <v>332</v>
      </c>
      <c r="H297" s="55">
        <v>240780875</v>
      </c>
      <c r="I297" s="55">
        <v>240780875</v>
      </c>
      <c r="J297" s="19" t="s">
        <v>37</v>
      </c>
      <c r="K297" s="19"/>
      <c r="L297" s="19"/>
      <c r="M297" s="19" t="s">
        <v>168</v>
      </c>
    </row>
    <row r="298" spans="2:13" ht="75" customHeight="1">
      <c r="B298" s="3"/>
      <c r="C298" s="2"/>
      <c r="D298" s="2"/>
      <c r="E298" s="2"/>
      <c r="F298" s="18" t="s">
        <v>167</v>
      </c>
      <c r="G298" s="13" t="s">
        <v>333</v>
      </c>
      <c r="H298" s="50">
        <v>457451159</v>
      </c>
      <c r="I298" s="76">
        <v>209752222</v>
      </c>
      <c r="J298" s="19" t="s">
        <v>49</v>
      </c>
      <c r="K298" s="19"/>
      <c r="L298" s="19"/>
      <c r="M298" s="18" t="s">
        <v>569</v>
      </c>
    </row>
    <row r="299" spans="2:13" ht="90" customHeight="1">
      <c r="B299" s="3"/>
      <c r="C299" s="2"/>
      <c r="D299" s="2"/>
      <c r="E299" s="2"/>
      <c r="F299" s="18" t="s">
        <v>167</v>
      </c>
      <c r="G299" s="13" t="s">
        <v>334</v>
      </c>
      <c r="H299" s="55">
        <v>595215000</v>
      </c>
      <c r="I299" s="55">
        <v>330742500</v>
      </c>
      <c r="J299" s="19" t="s">
        <v>37</v>
      </c>
      <c r="K299" s="19"/>
      <c r="L299" s="19"/>
      <c r="M299" s="18" t="s">
        <v>566</v>
      </c>
    </row>
    <row r="300" spans="2:13" ht="75" customHeight="1">
      <c r="B300" s="3"/>
      <c r="C300" s="2"/>
      <c r="D300" s="2"/>
      <c r="E300" s="2"/>
      <c r="F300" s="18" t="s">
        <v>167</v>
      </c>
      <c r="G300" s="13" t="s">
        <v>335</v>
      </c>
      <c r="H300" s="50">
        <v>440125136</v>
      </c>
      <c r="I300" s="76">
        <v>215945735</v>
      </c>
      <c r="J300" s="19" t="s">
        <v>26</v>
      </c>
      <c r="K300" s="19"/>
      <c r="L300" s="19"/>
      <c r="M300" s="18" t="s">
        <v>594</v>
      </c>
    </row>
    <row r="301" spans="2:13" ht="39.75" customHeight="1">
      <c r="B301" s="3"/>
      <c r="C301" s="18"/>
      <c r="D301" s="18"/>
      <c r="E301" s="2"/>
      <c r="F301" s="2" t="s">
        <v>72</v>
      </c>
      <c r="G301" s="13" t="s">
        <v>383</v>
      </c>
      <c r="H301" s="52">
        <f>122500000-175</f>
        <v>122499825</v>
      </c>
      <c r="I301" s="52">
        <f>122500000-175</f>
        <v>122499825</v>
      </c>
      <c r="J301" s="18" t="s">
        <v>26</v>
      </c>
      <c r="K301" s="19"/>
      <c r="L301" s="19"/>
      <c r="M301" s="19" t="s">
        <v>48</v>
      </c>
    </row>
    <row r="302" spans="2:13" ht="39.75" customHeight="1">
      <c r="B302" s="3"/>
      <c r="C302" s="18"/>
      <c r="D302" s="18"/>
      <c r="E302" s="2"/>
      <c r="F302" s="2" t="s">
        <v>72</v>
      </c>
      <c r="G302" s="13" t="s">
        <v>384</v>
      </c>
      <c r="H302" s="52">
        <f>347000000-1663</f>
        <v>346998337</v>
      </c>
      <c r="I302" s="52">
        <f>347000000-1663</f>
        <v>346998337</v>
      </c>
      <c r="J302" s="18" t="s">
        <v>49</v>
      </c>
      <c r="K302" s="19"/>
      <c r="L302" s="19"/>
      <c r="M302" s="19" t="s">
        <v>48</v>
      </c>
    </row>
    <row r="303" spans="2:13" ht="39.75" customHeight="1">
      <c r="B303" s="3"/>
      <c r="C303" s="18"/>
      <c r="D303" s="18"/>
      <c r="E303" s="2"/>
      <c r="F303" s="2" t="s">
        <v>72</v>
      </c>
      <c r="G303" s="12">
        <v>41346</v>
      </c>
      <c r="H303" s="52">
        <v>245500000</v>
      </c>
      <c r="I303" s="52">
        <v>245500000</v>
      </c>
      <c r="J303" s="18" t="s">
        <v>37</v>
      </c>
      <c r="K303" s="19"/>
      <c r="L303" s="19"/>
      <c r="M303" s="19" t="s">
        <v>48</v>
      </c>
    </row>
    <row r="304" spans="2:13" ht="39.75" customHeight="1">
      <c r="B304" s="3"/>
      <c r="C304" s="2"/>
      <c r="D304" s="2"/>
      <c r="E304" s="2"/>
      <c r="F304" s="2" t="s">
        <v>72</v>
      </c>
      <c r="G304" s="13" t="s">
        <v>385</v>
      </c>
      <c r="H304" s="52">
        <f>122500000-500</f>
        <v>122499500</v>
      </c>
      <c r="I304" s="76">
        <v>68573900</v>
      </c>
      <c r="J304" s="18" t="s">
        <v>26</v>
      </c>
      <c r="K304" s="19"/>
      <c r="L304" s="19"/>
      <c r="M304" s="18" t="s">
        <v>570</v>
      </c>
    </row>
    <row r="305" spans="2:13" ht="60" customHeight="1">
      <c r="B305" s="3"/>
      <c r="C305" s="3"/>
      <c r="D305" s="2"/>
      <c r="E305" s="2"/>
      <c r="F305" s="2" t="s">
        <v>72</v>
      </c>
      <c r="G305" s="13" t="s">
        <v>386</v>
      </c>
      <c r="H305" s="52">
        <f>753500000+155500000-3023</f>
        <v>908996977</v>
      </c>
      <c r="I305" s="76">
        <v>772715065</v>
      </c>
      <c r="J305" s="18" t="s">
        <v>49</v>
      </c>
      <c r="K305" s="19"/>
      <c r="L305" s="19"/>
      <c r="M305" s="18" t="s">
        <v>568</v>
      </c>
    </row>
    <row r="306" spans="2:13" ht="99.75" customHeight="1">
      <c r="B306" s="3"/>
      <c r="C306" s="3"/>
      <c r="D306" s="2"/>
      <c r="E306" s="2"/>
      <c r="F306" s="2" t="s">
        <v>72</v>
      </c>
      <c r="G306" s="13" t="s">
        <v>387</v>
      </c>
      <c r="H306" s="52">
        <f>743900000+16500000+10000000+30600000+420000000</f>
        <v>1221000000</v>
      </c>
      <c r="I306" s="76">
        <v>562650000</v>
      </c>
      <c r="J306" s="18" t="s">
        <v>37</v>
      </c>
      <c r="K306" s="19"/>
      <c r="L306" s="19"/>
      <c r="M306" s="18" t="s">
        <v>565</v>
      </c>
    </row>
    <row r="307" spans="2:13" ht="39.75" customHeight="1">
      <c r="B307" s="3"/>
      <c r="C307" s="3"/>
      <c r="D307" s="2"/>
      <c r="E307" s="2"/>
      <c r="F307" s="43" t="s">
        <v>73</v>
      </c>
      <c r="G307" s="13" t="s">
        <v>388</v>
      </c>
      <c r="H307" s="54">
        <f>552276000-37738572</f>
        <v>514537428</v>
      </c>
      <c r="I307" s="54">
        <f>552276000-37738572</f>
        <v>514537428</v>
      </c>
      <c r="J307" s="18" t="s">
        <v>26</v>
      </c>
      <c r="K307" s="19"/>
      <c r="L307" s="19"/>
      <c r="M307" s="19" t="s">
        <v>48</v>
      </c>
    </row>
    <row r="308" spans="2:13" ht="39.75" customHeight="1">
      <c r="B308" s="3"/>
      <c r="C308" s="3"/>
      <c r="D308" s="2"/>
      <c r="E308" s="2"/>
      <c r="F308" s="43" t="s">
        <v>73</v>
      </c>
      <c r="G308" s="13" t="s">
        <v>389</v>
      </c>
      <c r="H308" s="54">
        <f>590000000-2050</f>
        <v>589997950</v>
      </c>
      <c r="I308" s="54">
        <f>590000000-2050</f>
        <v>589997950</v>
      </c>
      <c r="J308" s="18" t="s">
        <v>49</v>
      </c>
      <c r="K308" s="19"/>
      <c r="L308" s="19"/>
      <c r="M308" s="19" t="s">
        <v>48</v>
      </c>
    </row>
    <row r="309" spans="2:13" ht="39.75" customHeight="1">
      <c r="B309" s="3"/>
      <c r="C309" s="3"/>
      <c r="D309" s="2"/>
      <c r="E309" s="2"/>
      <c r="F309" s="43" t="s">
        <v>73</v>
      </c>
      <c r="G309" s="12">
        <v>41355</v>
      </c>
      <c r="H309" s="54">
        <v>7650000</v>
      </c>
      <c r="I309" s="54">
        <v>7650000</v>
      </c>
      <c r="J309" s="18" t="s">
        <v>74</v>
      </c>
      <c r="K309" s="19"/>
      <c r="L309" s="19"/>
      <c r="M309" s="19" t="s">
        <v>48</v>
      </c>
    </row>
    <row r="310" spans="2:13" ht="39.75" customHeight="1">
      <c r="B310" s="3"/>
      <c r="C310" s="3"/>
      <c r="D310" s="2"/>
      <c r="E310" s="2"/>
      <c r="F310" s="43" t="s">
        <v>73</v>
      </c>
      <c r="G310" s="12">
        <v>41355</v>
      </c>
      <c r="H310" s="54">
        <v>3000000</v>
      </c>
      <c r="I310" s="76">
        <v>2772000</v>
      </c>
      <c r="J310" s="18" t="s">
        <v>75</v>
      </c>
      <c r="K310" s="19"/>
      <c r="L310" s="19"/>
      <c r="M310" s="19" t="s">
        <v>48</v>
      </c>
    </row>
    <row r="311" spans="2:13" ht="39.75" customHeight="1">
      <c r="B311" s="3"/>
      <c r="C311" s="3"/>
      <c r="D311" s="2"/>
      <c r="E311" s="2"/>
      <c r="F311" s="43" t="s">
        <v>73</v>
      </c>
      <c r="G311" s="13" t="s">
        <v>390</v>
      </c>
      <c r="H311" s="54">
        <f>12500000-6000000</f>
        <v>6500000</v>
      </c>
      <c r="I311" s="76">
        <v>5941950</v>
      </c>
      <c r="J311" s="18" t="s">
        <v>77</v>
      </c>
      <c r="K311" s="19"/>
      <c r="L311" s="19"/>
      <c r="M311" s="19" t="s">
        <v>48</v>
      </c>
    </row>
    <row r="312" spans="2:13" ht="39.75" customHeight="1">
      <c r="B312" s="3"/>
      <c r="C312" s="3"/>
      <c r="D312" s="2"/>
      <c r="E312" s="2"/>
      <c r="F312" s="43" t="s">
        <v>73</v>
      </c>
      <c r="G312" s="12">
        <v>41355</v>
      </c>
      <c r="H312" s="54">
        <v>5000000</v>
      </c>
      <c r="I312" s="54">
        <v>5000000</v>
      </c>
      <c r="J312" s="18" t="s">
        <v>78</v>
      </c>
      <c r="K312" s="19"/>
      <c r="L312" s="19"/>
      <c r="M312" s="19" t="s">
        <v>48</v>
      </c>
    </row>
    <row r="313" spans="2:15" ht="60" customHeight="1">
      <c r="B313" s="3"/>
      <c r="C313" s="3"/>
      <c r="D313" s="2"/>
      <c r="E313" s="2"/>
      <c r="F313" s="43" t="s">
        <v>73</v>
      </c>
      <c r="G313" s="13" t="s">
        <v>536</v>
      </c>
      <c r="H313" s="54">
        <v>20405000</v>
      </c>
      <c r="I313" s="76">
        <v>12705000</v>
      </c>
      <c r="J313" s="18" t="s">
        <v>80</v>
      </c>
      <c r="K313" s="19"/>
      <c r="L313" s="19"/>
      <c r="M313" s="18" t="s">
        <v>564</v>
      </c>
      <c r="O313" s="58"/>
    </row>
    <row r="314" spans="2:13" ht="39.75" customHeight="1">
      <c r="B314" s="3"/>
      <c r="C314" s="3"/>
      <c r="D314" s="2"/>
      <c r="E314" s="2"/>
      <c r="F314" s="43" t="s">
        <v>73</v>
      </c>
      <c r="G314" s="12">
        <v>41355</v>
      </c>
      <c r="H314" s="54">
        <v>13881000</v>
      </c>
      <c r="I314" s="54">
        <v>13881000</v>
      </c>
      <c r="J314" s="18" t="s">
        <v>83</v>
      </c>
      <c r="K314" s="19"/>
      <c r="L314" s="19"/>
      <c r="M314" s="19" t="s">
        <v>48</v>
      </c>
    </row>
    <row r="315" spans="2:13" ht="39.75" customHeight="1">
      <c r="B315" s="3"/>
      <c r="C315" s="3"/>
      <c r="D315" s="2"/>
      <c r="E315" s="2"/>
      <c r="F315" s="43" t="s">
        <v>73</v>
      </c>
      <c r="G315" s="12">
        <v>41355</v>
      </c>
      <c r="H315" s="54">
        <v>4000000</v>
      </c>
      <c r="I315" s="76">
        <v>3332000</v>
      </c>
      <c r="J315" s="18" t="s">
        <v>85</v>
      </c>
      <c r="K315" s="19"/>
      <c r="L315" s="19"/>
      <c r="M315" s="19" t="s">
        <v>48</v>
      </c>
    </row>
    <row r="316" spans="2:13" ht="39.75" customHeight="1">
      <c r="B316" s="3"/>
      <c r="C316" s="3"/>
      <c r="D316" s="2"/>
      <c r="E316" s="2"/>
      <c r="F316" s="43" t="s">
        <v>73</v>
      </c>
      <c r="G316" s="12">
        <v>41355</v>
      </c>
      <c r="H316" s="54">
        <v>5500000</v>
      </c>
      <c r="I316" s="54">
        <v>5500000</v>
      </c>
      <c r="J316" s="18" t="s">
        <v>86</v>
      </c>
      <c r="K316" s="19"/>
      <c r="L316" s="19"/>
      <c r="M316" s="19" t="s">
        <v>48</v>
      </c>
    </row>
    <row r="317" spans="2:13" ht="39.75" customHeight="1">
      <c r="B317" s="3"/>
      <c r="C317" s="3"/>
      <c r="D317" s="2"/>
      <c r="E317" s="2"/>
      <c r="F317" s="43" t="s">
        <v>73</v>
      </c>
      <c r="G317" s="12">
        <v>41355</v>
      </c>
      <c r="H317" s="54">
        <v>17875000</v>
      </c>
      <c r="I317" s="54">
        <v>17875000</v>
      </c>
      <c r="J317" s="18" t="s">
        <v>87</v>
      </c>
      <c r="K317" s="19"/>
      <c r="L317" s="19"/>
      <c r="M317" s="19" t="s">
        <v>48</v>
      </c>
    </row>
    <row r="318" spans="2:13" ht="39.75" customHeight="1">
      <c r="B318" s="3"/>
      <c r="C318" s="3"/>
      <c r="D318" s="2"/>
      <c r="E318" s="2"/>
      <c r="F318" s="43" t="s">
        <v>73</v>
      </c>
      <c r="G318" s="12">
        <v>41358</v>
      </c>
      <c r="H318" s="54">
        <v>4400000</v>
      </c>
      <c r="I318" s="54">
        <v>4400000</v>
      </c>
      <c r="J318" s="18" t="s">
        <v>79</v>
      </c>
      <c r="K318" s="19"/>
      <c r="L318" s="19"/>
      <c r="M318" s="19" t="s">
        <v>48</v>
      </c>
    </row>
    <row r="319" spans="2:13" ht="39.75" customHeight="1">
      <c r="B319" s="3"/>
      <c r="C319" s="3"/>
      <c r="D319" s="2"/>
      <c r="E319" s="2"/>
      <c r="F319" s="43" t="s">
        <v>73</v>
      </c>
      <c r="G319" s="12">
        <v>41358</v>
      </c>
      <c r="H319" s="54">
        <v>16500000</v>
      </c>
      <c r="I319" s="76">
        <v>15444000</v>
      </c>
      <c r="J319" s="18" t="s">
        <v>51</v>
      </c>
      <c r="K319" s="19"/>
      <c r="L319" s="19"/>
      <c r="M319" s="19" t="s">
        <v>48</v>
      </c>
    </row>
    <row r="320" spans="2:13" ht="39.75" customHeight="1">
      <c r="B320" s="3"/>
      <c r="C320" s="3"/>
      <c r="D320" s="2"/>
      <c r="E320" s="2"/>
      <c r="F320" s="43" t="s">
        <v>73</v>
      </c>
      <c r="G320" s="12">
        <v>41358</v>
      </c>
      <c r="H320" s="54">
        <v>1790000</v>
      </c>
      <c r="I320" s="54">
        <v>1790000</v>
      </c>
      <c r="J320" s="18" t="s">
        <v>84</v>
      </c>
      <c r="K320" s="19"/>
      <c r="L320" s="19"/>
      <c r="M320" s="19" t="s">
        <v>48</v>
      </c>
    </row>
    <row r="321" spans="2:13" ht="39.75" customHeight="1">
      <c r="B321" s="3"/>
      <c r="C321" s="3"/>
      <c r="D321" s="2"/>
      <c r="E321" s="2"/>
      <c r="F321" s="43" t="s">
        <v>73</v>
      </c>
      <c r="G321" s="12">
        <v>41359</v>
      </c>
      <c r="H321" s="54">
        <v>8000000</v>
      </c>
      <c r="I321" s="54">
        <v>8000000</v>
      </c>
      <c r="J321" s="18" t="s">
        <v>50</v>
      </c>
      <c r="K321" s="19"/>
      <c r="L321" s="19"/>
      <c r="M321" s="19" t="s">
        <v>48</v>
      </c>
    </row>
    <row r="322" spans="2:13" ht="39.75" customHeight="1">
      <c r="B322" s="3"/>
      <c r="C322" s="3"/>
      <c r="D322" s="2"/>
      <c r="E322" s="2"/>
      <c r="F322" s="43" t="s">
        <v>73</v>
      </c>
      <c r="G322" s="12">
        <v>41359</v>
      </c>
      <c r="H322" s="54">
        <v>4000000</v>
      </c>
      <c r="I322" s="54">
        <v>4000000</v>
      </c>
      <c r="J322" s="18" t="s">
        <v>76</v>
      </c>
      <c r="K322" s="19"/>
      <c r="L322" s="19"/>
      <c r="M322" s="19" t="s">
        <v>48</v>
      </c>
    </row>
    <row r="323" spans="2:13" ht="39.75" customHeight="1">
      <c r="B323" s="3"/>
      <c r="C323" s="3"/>
      <c r="D323" s="2"/>
      <c r="E323" s="2"/>
      <c r="F323" s="43" t="s">
        <v>73</v>
      </c>
      <c r="G323" s="12">
        <v>41359</v>
      </c>
      <c r="H323" s="54">
        <v>5500000</v>
      </c>
      <c r="I323" s="54">
        <v>5500000</v>
      </c>
      <c r="J323" s="18" t="s">
        <v>81</v>
      </c>
      <c r="K323" s="19"/>
      <c r="L323" s="19"/>
      <c r="M323" s="19" t="s">
        <v>48</v>
      </c>
    </row>
    <row r="324" spans="2:13" ht="39.75" customHeight="1">
      <c r="B324" s="3"/>
      <c r="C324" s="3"/>
      <c r="D324" s="2"/>
      <c r="E324" s="2"/>
      <c r="F324" s="43" t="s">
        <v>73</v>
      </c>
      <c r="G324" s="12">
        <v>41359</v>
      </c>
      <c r="H324" s="54">
        <v>22000000</v>
      </c>
      <c r="I324" s="54">
        <v>22000000</v>
      </c>
      <c r="J324" s="18" t="s">
        <v>82</v>
      </c>
      <c r="K324" s="19"/>
      <c r="L324" s="19"/>
      <c r="M324" s="19" t="s">
        <v>48</v>
      </c>
    </row>
    <row r="325" spans="2:13" ht="60" customHeight="1">
      <c r="B325" s="3"/>
      <c r="C325" s="3"/>
      <c r="D325" s="2"/>
      <c r="E325" s="2"/>
      <c r="F325" s="43" t="s">
        <v>73</v>
      </c>
      <c r="G325" s="13" t="s">
        <v>391</v>
      </c>
      <c r="H325" s="52">
        <f>941750000+97000000-47535</f>
        <v>1038702465</v>
      </c>
      <c r="I325" s="76">
        <v>966498287</v>
      </c>
      <c r="J325" s="18" t="s">
        <v>49</v>
      </c>
      <c r="K325" s="19"/>
      <c r="L325" s="19"/>
      <c r="M325" s="18" t="s">
        <v>563</v>
      </c>
    </row>
    <row r="326" spans="2:13" ht="39.75" customHeight="1">
      <c r="B326" s="3"/>
      <c r="C326" s="3"/>
      <c r="D326" s="2"/>
      <c r="E326" s="2"/>
      <c r="F326" s="43" t="s">
        <v>73</v>
      </c>
      <c r="G326" s="20" t="s">
        <v>392</v>
      </c>
      <c r="H326" s="52">
        <v>150000000</v>
      </c>
      <c r="I326" s="76">
        <v>75000000</v>
      </c>
      <c r="J326" s="18" t="s">
        <v>135</v>
      </c>
      <c r="K326" s="19"/>
      <c r="L326" s="19"/>
      <c r="M326" s="18" t="s">
        <v>546</v>
      </c>
    </row>
    <row r="327" spans="2:13" ht="39.75" customHeight="1">
      <c r="B327" s="3"/>
      <c r="C327" s="3"/>
      <c r="D327" s="2"/>
      <c r="E327" s="2"/>
      <c r="F327" s="43" t="s">
        <v>73</v>
      </c>
      <c r="G327" s="12">
        <v>41387</v>
      </c>
      <c r="H327" s="52">
        <v>10000000</v>
      </c>
      <c r="I327" s="52">
        <v>10000000</v>
      </c>
      <c r="J327" s="18" t="s">
        <v>74</v>
      </c>
      <c r="K327" s="19"/>
      <c r="L327" s="19"/>
      <c r="M327" s="19"/>
    </row>
    <row r="328" spans="2:13" ht="39.75" customHeight="1">
      <c r="B328" s="3"/>
      <c r="C328" s="3"/>
      <c r="D328" s="2"/>
      <c r="E328" s="2"/>
      <c r="F328" s="43" t="s">
        <v>73</v>
      </c>
      <c r="G328" s="13" t="s">
        <v>393</v>
      </c>
      <c r="H328" s="52">
        <f>3850000+68750000</f>
        <v>72600000</v>
      </c>
      <c r="I328" s="76">
        <v>969000</v>
      </c>
      <c r="J328" s="18" t="s">
        <v>51</v>
      </c>
      <c r="K328" s="19"/>
      <c r="L328" s="19"/>
      <c r="M328" s="18" t="s">
        <v>548</v>
      </c>
    </row>
    <row r="329" spans="2:13" ht="39.75" customHeight="1">
      <c r="B329" s="3"/>
      <c r="C329" s="3"/>
      <c r="D329" s="2"/>
      <c r="E329" s="2"/>
      <c r="F329" s="43" t="s">
        <v>73</v>
      </c>
      <c r="G329" s="12">
        <v>41389</v>
      </c>
      <c r="H329" s="52">
        <v>5500000</v>
      </c>
      <c r="I329" s="52">
        <v>5500000</v>
      </c>
      <c r="J329" s="18" t="s">
        <v>81</v>
      </c>
      <c r="K329" s="19"/>
      <c r="L329" s="19"/>
      <c r="M329" s="19"/>
    </row>
    <row r="330" spans="2:13" ht="99.75" customHeight="1">
      <c r="B330" s="3"/>
      <c r="C330" s="3"/>
      <c r="D330" s="2"/>
      <c r="E330" s="2"/>
      <c r="F330" s="43" t="s">
        <v>73</v>
      </c>
      <c r="G330" s="13" t="s">
        <v>394</v>
      </c>
      <c r="H330" s="52">
        <f>28000000+1000000-7150000-3850000+2000000</f>
        <v>20000000</v>
      </c>
      <c r="I330" s="76">
        <v>14466675</v>
      </c>
      <c r="J330" s="18" t="s">
        <v>50</v>
      </c>
      <c r="K330" s="19"/>
      <c r="L330" s="19"/>
      <c r="M330" s="18" t="s">
        <v>547</v>
      </c>
    </row>
    <row r="331" spans="2:13" ht="60" customHeight="1">
      <c r="B331" s="3"/>
      <c r="C331" s="3"/>
      <c r="D331" s="2"/>
      <c r="E331" s="2"/>
      <c r="F331" s="43" t="s">
        <v>73</v>
      </c>
      <c r="G331" s="13" t="s">
        <v>395</v>
      </c>
      <c r="H331" s="52">
        <f>44000000-22000000</f>
        <v>22000000</v>
      </c>
      <c r="I331" s="76">
        <v>15895000</v>
      </c>
      <c r="J331" s="18" t="s">
        <v>37</v>
      </c>
      <c r="K331" s="19"/>
      <c r="L331" s="19"/>
      <c r="M331" s="18" t="s">
        <v>567</v>
      </c>
    </row>
    <row r="332" spans="2:13" ht="60" customHeight="1">
      <c r="B332" s="3"/>
      <c r="C332" s="3"/>
      <c r="D332" s="2"/>
      <c r="E332" s="2"/>
      <c r="F332" s="43" t="s">
        <v>73</v>
      </c>
      <c r="G332" s="13" t="s">
        <v>396</v>
      </c>
      <c r="H332" s="52">
        <f>3000000+9700000-690000-360000</f>
        <v>11650000</v>
      </c>
      <c r="I332" s="76">
        <v>2310000</v>
      </c>
      <c r="J332" s="18" t="s">
        <v>133</v>
      </c>
      <c r="K332" s="19"/>
      <c r="L332" s="19"/>
      <c r="M332" s="18" t="s">
        <v>549</v>
      </c>
    </row>
    <row r="333" spans="2:13" ht="39.75" customHeight="1">
      <c r="B333" s="3"/>
      <c r="C333" s="3"/>
      <c r="D333" s="2"/>
      <c r="E333" s="2"/>
      <c r="F333" s="43" t="s">
        <v>73</v>
      </c>
      <c r="G333" s="12">
        <v>41390</v>
      </c>
      <c r="H333" s="52">
        <v>5500000</v>
      </c>
      <c r="I333" s="76">
        <v>4951000</v>
      </c>
      <c r="J333" s="18" t="s">
        <v>52</v>
      </c>
      <c r="K333" s="19"/>
      <c r="L333" s="19"/>
      <c r="M333" s="19"/>
    </row>
    <row r="334" spans="2:13" ht="60" customHeight="1">
      <c r="B334" s="3"/>
      <c r="C334" s="3"/>
      <c r="D334" s="2"/>
      <c r="E334" s="2"/>
      <c r="F334" s="43" t="s">
        <v>73</v>
      </c>
      <c r="G334" s="13" t="s">
        <v>397</v>
      </c>
      <c r="H334" s="52">
        <f>155000000-10569000</f>
        <v>144431000</v>
      </c>
      <c r="I334" s="76">
        <v>50431000</v>
      </c>
      <c r="J334" s="18" t="s">
        <v>134</v>
      </c>
      <c r="K334" s="19"/>
      <c r="L334" s="19"/>
      <c r="M334" s="18" t="s">
        <v>550</v>
      </c>
    </row>
    <row r="335" spans="2:13" ht="39.75" customHeight="1">
      <c r="B335" s="3"/>
      <c r="C335" s="3"/>
      <c r="D335" s="2"/>
      <c r="E335" s="2"/>
      <c r="F335" s="43" t="s">
        <v>73</v>
      </c>
      <c r="G335" s="12">
        <v>41423</v>
      </c>
      <c r="H335" s="52">
        <v>289800000</v>
      </c>
      <c r="I335" s="76">
        <v>151927100</v>
      </c>
      <c r="J335" s="18" t="s">
        <v>26</v>
      </c>
      <c r="K335" s="19"/>
      <c r="L335" s="19"/>
      <c r="M335" s="18" t="s">
        <v>571</v>
      </c>
    </row>
    <row r="336" spans="2:13" ht="39.75" customHeight="1">
      <c r="B336" s="3"/>
      <c r="C336" s="3"/>
      <c r="D336" s="2"/>
      <c r="E336" s="2"/>
      <c r="F336" s="43" t="s">
        <v>73</v>
      </c>
      <c r="G336" s="12">
        <v>41431</v>
      </c>
      <c r="H336" s="52">
        <v>6800000</v>
      </c>
      <c r="I336" s="52">
        <v>6800000</v>
      </c>
      <c r="J336" s="18" t="s">
        <v>88</v>
      </c>
      <c r="K336" s="19"/>
      <c r="L336" s="19"/>
      <c r="M336" s="19"/>
    </row>
    <row r="337" spans="2:13" ht="39.75" customHeight="1">
      <c r="B337" s="3"/>
      <c r="C337" s="3"/>
      <c r="D337" s="2"/>
      <c r="E337" s="2"/>
      <c r="F337" s="43" t="s">
        <v>73</v>
      </c>
      <c r="G337" s="13" t="s">
        <v>398</v>
      </c>
      <c r="H337" s="52">
        <f>4150000-449000</f>
        <v>3701000</v>
      </c>
      <c r="I337" s="52">
        <f>4150000-449000</f>
        <v>3701000</v>
      </c>
      <c r="J337" s="18" t="s">
        <v>100</v>
      </c>
      <c r="K337" s="19"/>
      <c r="L337" s="19"/>
      <c r="M337" s="19"/>
    </row>
    <row r="338" spans="2:13" ht="39.75" customHeight="1">
      <c r="B338" s="3"/>
      <c r="C338" s="3"/>
      <c r="D338" s="2"/>
      <c r="E338" s="2"/>
      <c r="F338" s="43" t="s">
        <v>73</v>
      </c>
      <c r="G338" s="13" t="s">
        <v>399</v>
      </c>
      <c r="H338" s="52">
        <f>12500000+1773000</f>
        <v>14273000</v>
      </c>
      <c r="I338" s="52">
        <f>12500000+1773000</f>
        <v>14273000</v>
      </c>
      <c r="J338" s="18" t="s">
        <v>105</v>
      </c>
      <c r="K338" s="19"/>
      <c r="L338" s="19"/>
      <c r="M338" s="19"/>
    </row>
    <row r="339" spans="2:13" ht="39.75" customHeight="1">
      <c r="B339" s="3"/>
      <c r="C339" s="3"/>
      <c r="D339" s="2"/>
      <c r="E339" s="2"/>
      <c r="F339" s="43" t="s">
        <v>73</v>
      </c>
      <c r="G339" s="12">
        <v>41431</v>
      </c>
      <c r="H339" s="52">
        <v>3777000</v>
      </c>
      <c r="I339" s="52">
        <v>3777000</v>
      </c>
      <c r="J339" s="18" t="s">
        <v>113</v>
      </c>
      <c r="K339" s="19"/>
      <c r="L339" s="19"/>
      <c r="M339" s="19"/>
    </row>
    <row r="340" spans="2:13" ht="39.75" customHeight="1">
      <c r="B340" s="3"/>
      <c r="C340" s="3"/>
      <c r="D340" s="2"/>
      <c r="E340" s="2"/>
      <c r="F340" s="43" t="s">
        <v>73</v>
      </c>
      <c r="G340" s="13" t="s">
        <v>400</v>
      </c>
      <c r="H340" s="52">
        <f>4021000-210000</f>
        <v>3811000</v>
      </c>
      <c r="I340" s="52">
        <f>4021000-210000</f>
        <v>3811000</v>
      </c>
      <c r="J340" s="18" t="s">
        <v>114</v>
      </c>
      <c r="K340" s="19"/>
      <c r="L340" s="19"/>
      <c r="M340" s="19"/>
    </row>
    <row r="341" spans="2:13" ht="39.75" customHeight="1">
      <c r="B341" s="3"/>
      <c r="C341" s="3"/>
      <c r="D341" s="2"/>
      <c r="E341" s="2"/>
      <c r="F341" s="43" t="s">
        <v>73</v>
      </c>
      <c r="G341" s="13" t="s">
        <v>398</v>
      </c>
      <c r="H341" s="52">
        <f>5145000-237000</f>
        <v>4908000</v>
      </c>
      <c r="I341" s="52">
        <f>5145000-237000</f>
        <v>4908000</v>
      </c>
      <c r="J341" s="18" t="s">
        <v>121</v>
      </c>
      <c r="K341" s="19"/>
      <c r="L341" s="19"/>
      <c r="M341" s="19"/>
    </row>
    <row r="342" spans="2:13" ht="39.75" customHeight="1">
      <c r="B342" s="3"/>
      <c r="C342" s="3"/>
      <c r="D342" s="2"/>
      <c r="E342" s="2"/>
      <c r="F342" s="43" t="s">
        <v>73</v>
      </c>
      <c r="G342" s="12">
        <v>41431</v>
      </c>
      <c r="H342" s="52">
        <v>11900000</v>
      </c>
      <c r="I342" s="52">
        <v>11900000</v>
      </c>
      <c r="J342" s="18" t="s">
        <v>128</v>
      </c>
      <c r="K342" s="19"/>
      <c r="L342" s="19"/>
      <c r="M342" s="19"/>
    </row>
    <row r="343" spans="2:13" ht="39.75" customHeight="1">
      <c r="B343" s="3"/>
      <c r="C343" s="3"/>
      <c r="D343" s="2"/>
      <c r="E343" s="2"/>
      <c r="F343" s="43" t="s">
        <v>73</v>
      </c>
      <c r="G343" s="13" t="s">
        <v>401</v>
      </c>
      <c r="H343" s="52">
        <f>3250000-1455000</f>
        <v>1795000</v>
      </c>
      <c r="I343" s="52">
        <f>3250000-1455000</f>
        <v>1795000</v>
      </c>
      <c r="J343" s="18" t="s">
        <v>131</v>
      </c>
      <c r="K343" s="19"/>
      <c r="L343" s="19"/>
      <c r="M343" s="19"/>
    </row>
    <row r="344" spans="2:13" ht="39.75" customHeight="1">
      <c r="B344" s="3"/>
      <c r="C344" s="3"/>
      <c r="D344" s="2"/>
      <c r="E344" s="2"/>
      <c r="F344" s="43" t="s">
        <v>73</v>
      </c>
      <c r="G344" s="12">
        <v>41437</v>
      </c>
      <c r="H344" s="52">
        <v>3350000</v>
      </c>
      <c r="I344" s="52">
        <v>3350000</v>
      </c>
      <c r="J344" s="18" t="s">
        <v>89</v>
      </c>
      <c r="K344" s="19"/>
      <c r="L344" s="19"/>
      <c r="M344" s="19"/>
    </row>
    <row r="345" spans="2:13" ht="39.75" customHeight="1">
      <c r="B345" s="3"/>
      <c r="C345" s="3"/>
      <c r="D345" s="2"/>
      <c r="E345" s="2"/>
      <c r="F345" s="43" t="s">
        <v>73</v>
      </c>
      <c r="G345" s="12">
        <v>41437</v>
      </c>
      <c r="H345" s="52">
        <v>15500000</v>
      </c>
      <c r="I345" s="52">
        <v>15500000</v>
      </c>
      <c r="J345" s="18" t="s">
        <v>90</v>
      </c>
      <c r="K345" s="19"/>
      <c r="L345" s="19"/>
      <c r="M345" s="19"/>
    </row>
    <row r="346" spans="2:13" ht="39.75" customHeight="1">
      <c r="B346" s="3"/>
      <c r="C346" s="3"/>
      <c r="D346" s="2"/>
      <c r="E346" s="2"/>
      <c r="F346" s="43" t="s">
        <v>73</v>
      </c>
      <c r="G346" s="13" t="s">
        <v>402</v>
      </c>
      <c r="H346" s="52">
        <f>2400000-12000</f>
        <v>2388000</v>
      </c>
      <c r="I346" s="52">
        <f>2400000-12000</f>
        <v>2388000</v>
      </c>
      <c r="J346" s="18" t="s">
        <v>91</v>
      </c>
      <c r="K346" s="19"/>
      <c r="L346" s="19"/>
      <c r="M346" s="19"/>
    </row>
    <row r="347" spans="2:13" ht="60" customHeight="1">
      <c r="B347" s="3"/>
      <c r="C347" s="3"/>
      <c r="D347" s="2"/>
      <c r="E347" s="2"/>
      <c r="F347" s="43" t="s">
        <v>73</v>
      </c>
      <c r="G347" s="13" t="s">
        <v>403</v>
      </c>
      <c r="H347" s="52">
        <f>15960000-682000-1586000</f>
        <v>13692000</v>
      </c>
      <c r="I347" s="52">
        <f>15960000-682000-1586000</f>
        <v>13692000</v>
      </c>
      <c r="J347" s="18" t="s">
        <v>92</v>
      </c>
      <c r="K347" s="19"/>
      <c r="L347" s="19"/>
      <c r="M347" s="19"/>
    </row>
    <row r="348" spans="2:13" ht="60" customHeight="1">
      <c r="B348" s="3"/>
      <c r="C348" s="3"/>
      <c r="D348" s="2"/>
      <c r="E348" s="2"/>
      <c r="F348" s="43" t="s">
        <v>73</v>
      </c>
      <c r="G348" s="13" t="s">
        <v>404</v>
      </c>
      <c r="H348" s="52">
        <f>9965000+711000-268000</f>
        <v>10408000</v>
      </c>
      <c r="I348" s="52">
        <f>9965000+711000-268000</f>
        <v>10408000</v>
      </c>
      <c r="J348" s="18" t="s">
        <v>93</v>
      </c>
      <c r="K348" s="19"/>
      <c r="L348" s="19"/>
      <c r="M348" s="19"/>
    </row>
    <row r="349" spans="2:13" ht="39.75" customHeight="1">
      <c r="B349" s="3"/>
      <c r="C349" s="3"/>
      <c r="D349" s="2"/>
      <c r="E349" s="2"/>
      <c r="F349" s="43" t="s">
        <v>73</v>
      </c>
      <c r="G349" s="12">
        <v>41437</v>
      </c>
      <c r="H349" s="52">
        <v>4000000</v>
      </c>
      <c r="I349" s="52">
        <v>4000000</v>
      </c>
      <c r="J349" s="18" t="s">
        <v>94</v>
      </c>
      <c r="K349" s="19"/>
      <c r="L349" s="19"/>
      <c r="M349" s="19"/>
    </row>
    <row r="350" spans="2:13" ht="39.75" customHeight="1">
      <c r="B350" s="3"/>
      <c r="C350" s="3"/>
      <c r="D350" s="2"/>
      <c r="E350" s="2"/>
      <c r="F350" s="43" t="s">
        <v>73</v>
      </c>
      <c r="G350" s="12">
        <v>41437</v>
      </c>
      <c r="H350" s="52">
        <v>17000000</v>
      </c>
      <c r="I350" s="52">
        <v>17000000</v>
      </c>
      <c r="J350" s="18" t="s">
        <v>95</v>
      </c>
      <c r="K350" s="19"/>
      <c r="L350" s="19"/>
      <c r="M350" s="19"/>
    </row>
    <row r="351" spans="2:13" ht="39.75" customHeight="1">
      <c r="B351" s="3"/>
      <c r="C351" s="3"/>
      <c r="D351" s="2"/>
      <c r="E351" s="2"/>
      <c r="F351" s="43" t="s">
        <v>73</v>
      </c>
      <c r="G351" s="12">
        <v>41437</v>
      </c>
      <c r="H351" s="52">
        <v>3500000</v>
      </c>
      <c r="I351" s="52">
        <v>3500000</v>
      </c>
      <c r="J351" s="18" t="s">
        <v>97</v>
      </c>
      <c r="K351" s="19"/>
      <c r="L351" s="19"/>
      <c r="M351" s="19"/>
    </row>
    <row r="352" spans="2:13" ht="39.75" customHeight="1">
      <c r="B352" s="3"/>
      <c r="C352" s="3"/>
      <c r="D352" s="2"/>
      <c r="E352" s="2"/>
      <c r="F352" s="43" t="s">
        <v>73</v>
      </c>
      <c r="G352" s="13" t="s">
        <v>405</v>
      </c>
      <c r="H352" s="52">
        <f>11500000+461000</f>
        <v>11961000</v>
      </c>
      <c r="I352" s="52">
        <f>11500000+461000</f>
        <v>11961000</v>
      </c>
      <c r="J352" s="18" t="s">
        <v>98</v>
      </c>
      <c r="K352" s="19"/>
      <c r="L352" s="19"/>
      <c r="M352" s="19"/>
    </row>
    <row r="353" spans="2:13" ht="39.75" customHeight="1">
      <c r="B353" s="3"/>
      <c r="C353" s="3"/>
      <c r="D353" s="2"/>
      <c r="E353" s="2"/>
      <c r="F353" s="43" t="s">
        <v>73</v>
      </c>
      <c r="G353" s="12">
        <v>41437</v>
      </c>
      <c r="H353" s="52">
        <v>6000000</v>
      </c>
      <c r="I353" s="52">
        <v>6000000</v>
      </c>
      <c r="J353" s="18" t="s">
        <v>99</v>
      </c>
      <c r="K353" s="19"/>
      <c r="L353" s="19"/>
      <c r="M353" s="19"/>
    </row>
    <row r="354" spans="2:13" ht="39.75" customHeight="1">
      <c r="B354" s="3"/>
      <c r="C354" s="3"/>
      <c r="D354" s="2"/>
      <c r="E354" s="2"/>
      <c r="F354" s="43" t="s">
        <v>73</v>
      </c>
      <c r="G354" s="12">
        <v>41437</v>
      </c>
      <c r="H354" s="52">
        <v>12350000</v>
      </c>
      <c r="I354" s="52">
        <v>12350000</v>
      </c>
      <c r="J354" s="18" t="s">
        <v>306</v>
      </c>
      <c r="K354" s="19"/>
      <c r="L354" s="19"/>
      <c r="M354" s="19"/>
    </row>
    <row r="355" spans="2:13" ht="60" customHeight="1">
      <c r="B355" s="3"/>
      <c r="C355" s="3"/>
      <c r="D355" s="2"/>
      <c r="E355" s="2"/>
      <c r="F355" s="43" t="s">
        <v>73</v>
      </c>
      <c r="G355" s="13" t="s">
        <v>406</v>
      </c>
      <c r="H355" s="52">
        <f>2499000-714000-6000</f>
        <v>1779000</v>
      </c>
      <c r="I355" s="52">
        <f>2499000-714000-6000</f>
        <v>1779000</v>
      </c>
      <c r="J355" s="18" t="s">
        <v>101</v>
      </c>
      <c r="K355" s="19"/>
      <c r="L355" s="19"/>
      <c r="M355" s="19"/>
    </row>
    <row r="356" spans="2:13" ht="39.75" customHeight="1">
      <c r="B356" s="3"/>
      <c r="C356" s="3"/>
      <c r="D356" s="2"/>
      <c r="E356" s="2"/>
      <c r="F356" s="43" t="s">
        <v>73</v>
      </c>
      <c r="G356" s="13" t="s">
        <v>407</v>
      </c>
      <c r="H356" s="52">
        <f>1743000-63000</f>
        <v>1680000</v>
      </c>
      <c r="I356" s="52">
        <f>1743000-63000</f>
        <v>1680000</v>
      </c>
      <c r="J356" s="18" t="s">
        <v>102</v>
      </c>
      <c r="K356" s="19"/>
      <c r="L356" s="19"/>
      <c r="M356" s="19"/>
    </row>
    <row r="357" spans="2:13" ht="39.75" customHeight="1">
      <c r="B357" s="3"/>
      <c r="C357" s="3"/>
      <c r="D357" s="2"/>
      <c r="E357" s="2"/>
      <c r="F357" s="43" t="s">
        <v>73</v>
      </c>
      <c r="G357" s="13" t="s">
        <v>407</v>
      </c>
      <c r="H357" s="52">
        <f>2394000-111000</f>
        <v>2283000</v>
      </c>
      <c r="I357" s="52">
        <f>2394000-111000</f>
        <v>2283000</v>
      </c>
      <c r="J357" s="18" t="s">
        <v>103</v>
      </c>
      <c r="K357" s="19"/>
      <c r="L357" s="19"/>
      <c r="M357" s="19"/>
    </row>
    <row r="358" spans="2:13" ht="39.75" customHeight="1">
      <c r="B358" s="3"/>
      <c r="C358" s="3"/>
      <c r="D358" s="2"/>
      <c r="E358" s="2"/>
      <c r="F358" s="43" t="s">
        <v>73</v>
      </c>
      <c r="G358" s="13" t="s">
        <v>407</v>
      </c>
      <c r="H358" s="52">
        <f>3990000-231000</f>
        <v>3759000</v>
      </c>
      <c r="I358" s="52">
        <f>3990000-231000</f>
        <v>3759000</v>
      </c>
      <c r="J358" s="18" t="s">
        <v>104</v>
      </c>
      <c r="K358" s="19"/>
      <c r="L358" s="19"/>
      <c r="M358" s="19"/>
    </row>
    <row r="359" spans="2:13" ht="60" customHeight="1">
      <c r="B359" s="3"/>
      <c r="C359" s="3"/>
      <c r="D359" s="2"/>
      <c r="E359" s="2"/>
      <c r="F359" s="43" t="s">
        <v>73</v>
      </c>
      <c r="G359" s="13" t="s">
        <v>408</v>
      </c>
      <c r="H359" s="52">
        <f>2987000+4015000-356000</f>
        <v>6646000</v>
      </c>
      <c r="I359" s="52">
        <f>2987000+4015000-356000</f>
        <v>6646000</v>
      </c>
      <c r="J359" s="18" t="s">
        <v>106</v>
      </c>
      <c r="K359" s="19"/>
      <c r="L359" s="19"/>
      <c r="M359" s="19"/>
    </row>
    <row r="360" spans="2:13" ht="39.75" customHeight="1">
      <c r="B360" s="3"/>
      <c r="C360" s="3"/>
      <c r="D360" s="2"/>
      <c r="E360" s="2"/>
      <c r="F360" s="43" t="s">
        <v>73</v>
      </c>
      <c r="G360" s="13" t="s">
        <v>409</v>
      </c>
      <c r="H360" s="52">
        <f>5947000+1124000</f>
        <v>7071000</v>
      </c>
      <c r="I360" s="52">
        <f>5947000+1124000</f>
        <v>7071000</v>
      </c>
      <c r="J360" s="18" t="s">
        <v>107</v>
      </c>
      <c r="K360" s="19"/>
      <c r="L360" s="19"/>
      <c r="M360" s="19"/>
    </row>
    <row r="361" spans="2:13" ht="39.75" customHeight="1">
      <c r="B361" s="3"/>
      <c r="C361" s="3"/>
      <c r="D361" s="2"/>
      <c r="E361" s="2"/>
      <c r="F361" s="43" t="s">
        <v>73</v>
      </c>
      <c r="G361" s="13" t="s">
        <v>409</v>
      </c>
      <c r="H361" s="52">
        <f>10748000+784000</f>
        <v>11532000</v>
      </c>
      <c r="I361" s="52">
        <f>10748000+784000</f>
        <v>11532000</v>
      </c>
      <c r="J361" s="18" t="s">
        <v>108</v>
      </c>
      <c r="K361" s="19"/>
      <c r="L361" s="19"/>
      <c r="M361" s="19"/>
    </row>
    <row r="362" spans="2:13" ht="39.75" customHeight="1">
      <c r="B362" s="3"/>
      <c r="C362" s="3"/>
      <c r="D362" s="2"/>
      <c r="E362" s="2"/>
      <c r="F362" s="43" t="s">
        <v>73</v>
      </c>
      <c r="G362" s="13" t="s">
        <v>409</v>
      </c>
      <c r="H362" s="52">
        <f>29424000+615000</f>
        <v>30039000</v>
      </c>
      <c r="I362" s="52">
        <f>29424000+615000</f>
        <v>30039000</v>
      </c>
      <c r="J362" s="18" t="s">
        <v>109</v>
      </c>
      <c r="K362" s="19"/>
      <c r="L362" s="19"/>
      <c r="M362" s="19"/>
    </row>
    <row r="363" spans="2:13" ht="39.75" customHeight="1">
      <c r="B363" s="3"/>
      <c r="C363" s="3"/>
      <c r="D363" s="2"/>
      <c r="E363" s="2"/>
      <c r="F363" s="43" t="s">
        <v>73</v>
      </c>
      <c r="G363" s="12">
        <v>41437</v>
      </c>
      <c r="H363" s="52">
        <v>20283000</v>
      </c>
      <c r="I363" s="52">
        <v>20283000</v>
      </c>
      <c r="J363" s="18" t="s">
        <v>110</v>
      </c>
      <c r="K363" s="19"/>
      <c r="L363" s="19"/>
      <c r="M363" s="19"/>
    </row>
    <row r="364" spans="2:13" ht="39.75" customHeight="1">
      <c r="B364" s="3"/>
      <c r="C364" s="3"/>
      <c r="D364" s="2"/>
      <c r="E364" s="2"/>
      <c r="F364" s="43" t="s">
        <v>73</v>
      </c>
      <c r="G364" s="13" t="s">
        <v>410</v>
      </c>
      <c r="H364" s="52">
        <f>7035000-473000</f>
        <v>6562000</v>
      </c>
      <c r="I364" s="52">
        <f>7035000-473000</f>
        <v>6562000</v>
      </c>
      <c r="J364" s="18" t="s">
        <v>111</v>
      </c>
      <c r="K364" s="19"/>
      <c r="L364" s="19"/>
      <c r="M364" s="19"/>
    </row>
    <row r="365" spans="2:13" ht="60" customHeight="1">
      <c r="B365" s="3"/>
      <c r="C365" s="3"/>
      <c r="D365" s="2"/>
      <c r="E365" s="2"/>
      <c r="F365" s="43" t="s">
        <v>73</v>
      </c>
      <c r="G365" s="13" t="s">
        <v>411</v>
      </c>
      <c r="H365" s="52">
        <f>23315000-4014000-308000</f>
        <v>18993000</v>
      </c>
      <c r="I365" s="52">
        <f>23315000-4014000-308000</f>
        <v>18993000</v>
      </c>
      <c r="J365" s="18" t="s">
        <v>112</v>
      </c>
      <c r="K365" s="19"/>
      <c r="L365" s="19"/>
      <c r="M365" s="19"/>
    </row>
    <row r="366" spans="2:13" ht="39.75" customHeight="1">
      <c r="B366" s="3"/>
      <c r="C366" s="3"/>
      <c r="D366" s="2"/>
      <c r="E366" s="2"/>
      <c r="F366" s="43" t="s">
        <v>73</v>
      </c>
      <c r="G366" s="12">
        <v>41437</v>
      </c>
      <c r="H366" s="52">
        <v>2350000</v>
      </c>
      <c r="I366" s="52">
        <v>2350000</v>
      </c>
      <c r="J366" s="18" t="s">
        <v>115</v>
      </c>
      <c r="K366" s="19"/>
      <c r="L366" s="19"/>
      <c r="M366" s="19"/>
    </row>
    <row r="367" spans="2:13" ht="39.75" customHeight="1">
      <c r="B367" s="3"/>
      <c r="C367" s="3"/>
      <c r="D367" s="2"/>
      <c r="E367" s="2"/>
      <c r="F367" s="43" t="s">
        <v>73</v>
      </c>
      <c r="G367" s="13" t="s">
        <v>412</v>
      </c>
      <c r="H367" s="52">
        <f>12500000-1500000</f>
        <v>11000000</v>
      </c>
      <c r="I367" s="52">
        <f>12500000-1500000</f>
        <v>11000000</v>
      </c>
      <c r="J367" s="18" t="s">
        <v>116</v>
      </c>
      <c r="K367" s="19"/>
      <c r="L367" s="19"/>
      <c r="M367" s="19"/>
    </row>
    <row r="368" spans="2:13" ht="39.75" customHeight="1">
      <c r="B368" s="3"/>
      <c r="C368" s="3"/>
      <c r="D368" s="2"/>
      <c r="E368" s="2"/>
      <c r="F368" s="43" t="s">
        <v>73</v>
      </c>
      <c r="G368" s="13" t="s">
        <v>413</v>
      </c>
      <c r="H368" s="52">
        <f>10000000+1500000</f>
        <v>11500000</v>
      </c>
      <c r="I368" s="52">
        <f>10000000+1500000</f>
        <v>11500000</v>
      </c>
      <c r="J368" s="18" t="s">
        <v>117</v>
      </c>
      <c r="K368" s="19"/>
      <c r="L368" s="19"/>
      <c r="M368" s="19"/>
    </row>
    <row r="369" spans="2:13" ht="39.75" customHeight="1">
      <c r="B369" s="3"/>
      <c r="C369" s="3"/>
      <c r="D369" s="2"/>
      <c r="E369" s="2"/>
      <c r="F369" s="43" t="s">
        <v>73</v>
      </c>
      <c r="G369" s="12">
        <v>41437</v>
      </c>
      <c r="H369" s="52">
        <v>9450000</v>
      </c>
      <c r="I369" s="52">
        <v>9450000</v>
      </c>
      <c r="J369" s="18" t="s">
        <v>118</v>
      </c>
      <c r="K369" s="19"/>
      <c r="L369" s="19"/>
      <c r="M369" s="19"/>
    </row>
    <row r="370" spans="2:13" ht="39.75" customHeight="1">
      <c r="B370" s="3"/>
      <c r="C370" s="3"/>
      <c r="D370" s="2"/>
      <c r="E370" s="2"/>
      <c r="F370" s="43" t="s">
        <v>73</v>
      </c>
      <c r="G370" s="13" t="s">
        <v>412</v>
      </c>
      <c r="H370" s="52">
        <f>40000000+1203000</f>
        <v>41203000</v>
      </c>
      <c r="I370" s="52">
        <f>40000000+1203000</f>
        <v>41203000</v>
      </c>
      <c r="J370" s="18" t="s">
        <v>119</v>
      </c>
      <c r="K370" s="19"/>
      <c r="L370" s="19"/>
      <c r="M370" s="19"/>
    </row>
    <row r="371" spans="2:13" ht="39.75" customHeight="1">
      <c r="B371" s="3"/>
      <c r="C371" s="3"/>
      <c r="D371" s="2"/>
      <c r="E371" s="2"/>
      <c r="F371" s="43" t="s">
        <v>73</v>
      </c>
      <c r="G371" s="12">
        <v>41437</v>
      </c>
      <c r="H371" s="52">
        <v>1100000</v>
      </c>
      <c r="I371" s="52">
        <v>1100000</v>
      </c>
      <c r="J371" s="18" t="s">
        <v>123</v>
      </c>
      <c r="K371" s="19"/>
      <c r="L371" s="19"/>
      <c r="M371" s="19"/>
    </row>
    <row r="372" spans="2:13" ht="39.75" customHeight="1">
      <c r="B372" s="3"/>
      <c r="C372" s="3"/>
      <c r="D372" s="2"/>
      <c r="E372" s="2"/>
      <c r="F372" s="43" t="s">
        <v>73</v>
      </c>
      <c r="G372" s="12">
        <v>41437</v>
      </c>
      <c r="H372" s="52">
        <v>9995000</v>
      </c>
      <c r="I372" s="52">
        <v>9995000</v>
      </c>
      <c r="J372" s="18" t="s">
        <v>124</v>
      </c>
      <c r="K372" s="19"/>
      <c r="L372" s="19"/>
      <c r="M372" s="19"/>
    </row>
    <row r="373" spans="2:13" ht="39.75" customHeight="1">
      <c r="B373" s="3"/>
      <c r="C373" s="3"/>
      <c r="D373" s="2"/>
      <c r="E373" s="2"/>
      <c r="F373" s="43" t="s">
        <v>73</v>
      </c>
      <c r="G373" s="12">
        <v>41437</v>
      </c>
      <c r="H373" s="52">
        <v>14400000</v>
      </c>
      <c r="I373" s="52">
        <v>14400000</v>
      </c>
      <c r="J373" s="18" t="s">
        <v>125</v>
      </c>
      <c r="K373" s="19"/>
      <c r="L373" s="19"/>
      <c r="M373" s="19"/>
    </row>
    <row r="374" spans="2:13" ht="39.75" customHeight="1">
      <c r="B374" s="3"/>
      <c r="C374" s="3"/>
      <c r="D374" s="2"/>
      <c r="E374" s="2"/>
      <c r="F374" s="43" t="s">
        <v>73</v>
      </c>
      <c r="G374" s="13" t="s">
        <v>414</v>
      </c>
      <c r="H374" s="52">
        <f>6400000-246000</f>
        <v>6154000</v>
      </c>
      <c r="I374" s="52">
        <f>6400000-246000</f>
        <v>6154000</v>
      </c>
      <c r="J374" s="18" t="s">
        <v>126</v>
      </c>
      <c r="K374" s="19"/>
      <c r="L374" s="19"/>
      <c r="M374" s="19"/>
    </row>
    <row r="375" spans="2:13" ht="39.75" customHeight="1">
      <c r="B375" s="3"/>
      <c r="C375" s="3"/>
      <c r="D375" s="2"/>
      <c r="E375" s="2"/>
      <c r="F375" s="43" t="s">
        <v>73</v>
      </c>
      <c r="G375" s="13" t="s">
        <v>415</v>
      </c>
      <c r="H375" s="52">
        <f>17350000+1701000</f>
        <v>19051000</v>
      </c>
      <c r="I375" s="52">
        <f>17350000+1701000</f>
        <v>19051000</v>
      </c>
      <c r="J375" s="18" t="s">
        <v>127</v>
      </c>
      <c r="K375" s="19"/>
      <c r="L375" s="19"/>
      <c r="M375" s="19"/>
    </row>
    <row r="376" spans="2:13" ht="39.75" customHeight="1">
      <c r="B376" s="3"/>
      <c r="C376" s="3"/>
      <c r="D376" s="2"/>
      <c r="E376" s="2"/>
      <c r="F376" s="43" t="s">
        <v>73</v>
      </c>
      <c r="G376" s="12">
        <v>41437</v>
      </c>
      <c r="H376" s="52">
        <v>14646000</v>
      </c>
      <c r="I376" s="52">
        <v>14646000</v>
      </c>
      <c r="J376" s="18" t="s">
        <v>129</v>
      </c>
      <c r="K376" s="19"/>
      <c r="L376" s="19"/>
      <c r="M376" s="19"/>
    </row>
    <row r="377" spans="2:13" ht="39.75" customHeight="1">
      <c r="B377" s="3"/>
      <c r="C377" s="3"/>
      <c r="D377" s="2"/>
      <c r="E377" s="2"/>
      <c r="F377" s="43" t="s">
        <v>73</v>
      </c>
      <c r="G377" s="12">
        <v>41437</v>
      </c>
      <c r="H377" s="52">
        <v>4550000</v>
      </c>
      <c r="I377" s="52">
        <v>4550000</v>
      </c>
      <c r="J377" s="18" t="s">
        <v>130</v>
      </c>
      <c r="K377" s="19"/>
      <c r="L377" s="19"/>
      <c r="M377" s="19"/>
    </row>
    <row r="378" spans="2:13" ht="39.75" customHeight="1">
      <c r="B378" s="3"/>
      <c r="C378" s="3"/>
      <c r="D378" s="2"/>
      <c r="E378" s="2"/>
      <c r="F378" s="43" t="s">
        <v>73</v>
      </c>
      <c r="G378" s="12">
        <v>41437</v>
      </c>
      <c r="H378" s="52">
        <v>52236000</v>
      </c>
      <c r="I378" s="52">
        <v>52236000</v>
      </c>
      <c r="J378" s="18" t="s">
        <v>132</v>
      </c>
      <c r="K378" s="19"/>
      <c r="L378" s="19"/>
      <c r="M378" s="19"/>
    </row>
    <row r="379" spans="2:13" ht="60" customHeight="1">
      <c r="B379" s="3"/>
      <c r="C379" s="3"/>
      <c r="D379" s="2"/>
      <c r="E379" s="2"/>
      <c r="F379" s="43" t="s">
        <v>73</v>
      </c>
      <c r="G379" s="20" t="s">
        <v>416</v>
      </c>
      <c r="H379" s="52">
        <f>6865000-1203000</f>
        <v>5662000</v>
      </c>
      <c r="I379" s="52">
        <f>6865000-1203000</f>
        <v>5662000</v>
      </c>
      <c r="J379" s="18" t="s">
        <v>120</v>
      </c>
      <c r="K379" s="19"/>
      <c r="L379" s="19"/>
      <c r="M379" s="19"/>
    </row>
    <row r="380" spans="2:13" ht="60" customHeight="1">
      <c r="B380" s="3"/>
      <c r="C380" s="3"/>
      <c r="D380" s="2"/>
      <c r="E380" s="2"/>
      <c r="F380" s="43" t="s">
        <v>73</v>
      </c>
      <c r="G380" s="20" t="s">
        <v>417</v>
      </c>
      <c r="H380" s="52">
        <f>1925000+220000</f>
        <v>2145000</v>
      </c>
      <c r="I380" s="76">
        <v>2128000</v>
      </c>
      <c r="J380" s="18" t="s">
        <v>96</v>
      </c>
      <c r="K380" s="19"/>
      <c r="L380" s="19"/>
      <c r="M380" s="19"/>
    </row>
    <row r="381" spans="2:13" ht="39.75" customHeight="1">
      <c r="B381" s="3"/>
      <c r="C381" s="3"/>
      <c r="D381" s="2"/>
      <c r="E381" s="2"/>
      <c r="F381" s="43" t="s">
        <v>73</v>
      </c>
      <c r="G381" s="20" t="s">
        <v>418</v>
      </c>
      <c r="H381" s="52">
        <v>4100000</v>
      </c>
      <c r="I381" s="52">
        <v>4100000</v>
      </c>
      <c r="J381" s="18" t="s">
        <v>83</v>
      </c>
      <c r="K381" s="19"/>
      <c r="L381" s="19"/>
      <c r="M381" s="19"/>
    </row>
    <row r="382" spans="2:13" ht="39.75" customHeight="1">
      <c r="B382" s="3"/>
      <c r="C382" s="3"/>
      <c r="D382" s="2"/>
      <c r="E382" s="2"/>
      <c r="F382" s="43" t="s">
        <v>73</v>
      </c>
      <c r="G382" s="12">
        <v>41439</v>
      </c>
      <c r="H382" s="52">
        <v>4500000</v>
      </c>
      <c r="I382" s="52">
        <v>4500000</v>
      </c>
      <c r="J382" s="18" t="s">
        <v>26</v>
      </c>
      <c r="K382" s="19"/>
      <c r="L382" s="19"/>
      <c r="M382" s="19"/>
    </row>
    <row r="383" spans="2:13" ht="39.75" customHeight="1">
      <c r="B383" s="3"/>
      <c r="C383" s="3"/>
      <c r="D383" s="2"/>
      <c r="E383" s="2"/>
      <c r="F383" s="43" t="s">
        <v>73</v>
      </c>
      <c r="G383" s="12">
        <v>41439</v>
      </c>
      <c r="H383" s="52">
        <v>13900000</v>
      </c>
      <c r="I383" s="52">
        <v>13900000</v>
      </c>
      <c r="J383" s="18" t="s">
        <v>122</v>
      </c>
      <c r="K383" s="19"/>
      <c r="L383" s="19"/>
      <c r="M383" s="19"/>
    </row>
    <row r="384" spans="2:13" ht="39.75" customHeight="1">
      <c r="B384" s="3"/>
      <c r="C384" s="3"/>
      <c r="D384" s="2"/>
      <c r="E384" s="2"/>
      <c r="F384" s="43" t="s">
        <v>73</v>
      </c>
      <c r="G384" s="13" t="s">
        <v>419</v>
      </c>
      <c r="H384" s="52">
        <v>32100000</v>
      </c>
      <c r="I384" s="52">
        <v>32100000</v>
      </c>
      <c r="J384" s="18" t="s">
        <v>78</v>
      </c>
      <c r="K384" s="19"/>
      <c r="L384" s="19"/>
      <c r="M384" s="19"/>
    </row>
    <row r="385" spans="2:13" ht="39.75" customHeight="1">
      <c r="B385" s="3"/>
      <c r="C385" s="3"/>
      <c r="D385" s="2"/>
      <c r="E385" s="2"/>
      <c r="F385" s="2" t="s">
        <v>170</v>
      </c>
      <c r="G385" s="21">
        <v>41388</v>
      </c>
      <c r="H385" s="50">
        <v>30000000</v>
      </c>
      <c r="I385" s="50">
        <v>30000000</v>
      </c>
      <c r="J385" s="2" t="s">
        <v>26</v>
      </c>
      <c r="K385" s="19"/>
      <c r="L385" s="19"/>
      <c r="M385" s="19"/>
    </row>
    <row r="386" spans="2:13" ht="39.75" customHeight="1">
      <c r="B386" s="3"/>
      <c r="C386" s="3"/>
      <c r="D386" s="2"/>
      <c r="E386" s="2"/>
      <c r="F386" s="2" t="s">
        <v>170</v>
      </c>
      <c r="G386" s="21">
        <v>41446</v>
      </c>
      <c r="H386" s="50">
        <v>3000000</v>
      </c>
      <c r="I386" s="50">
        <v>3000000</v>
      </c>
      <c r="J386" s="2" t="s">
        <v>26</v>
      </c>
      <c r="K386" s="19"/>
      <c r="L386" s="19"/>
      <c r="M386" s="19"/>
    </row>
    <row r="387" spans="2:13" ht="39.75" customHeight="1">
      <c r="B387" s="3"/>
      <c r="C387" s="2" t="s">
        <v>178</v>
      </c>
      <c r="D387" s="2"/>
      <c r="E387" s="2"/>
      <c r="F387" s="18"/>
      <c r="G387" s="38"/>
      <c r="H387" s="50">
        <f>SUM(H388+H410)</f>
        <v>2368830013</v>
      </c>
      <c r="I387" s="50">
        <f>SUM(I388+I410)</f>
        <v>2255291477</v>
      </c>
      <c r="J387" s="2"/>
      <c r="K387" s="19"/>
      <c r="L387" s="19"/>
      <c r="M387" s="19"/>
    </row>
    <row r="388" spans="2:13" ht="39.75" customHeight="1">
      <c r="B388" s="3"/>
      <c r="C388" s="2"/>
      <c r="D388" s="2" t="s">
        <v>177</v>
      </c>
      <c r="E388" s="2"/>
      <c r="F388" s="18"/>
      <c r="G388" s="38"/>
      <c r="H388" s="50">
        <f>SUM(H389:H409)</f>
        <v>2301287013</v>
      </c>
      <c r="I388" s="50">
        <f>SUM(I389:I409)</f>
        <v>2189482626</v>
      </c>
      <c r="J388" s="2"/>
      <c r="K388" s="19"/>
      <c r="L388" s="19"/>
      <c r="M388" s="19"/>
    </row>
    <row r="389" spans="2:13" ht="39.75" customHeight="1">
      <c r="B389" s="3"/>
      <c r="C389" s="3"/>
      <c r="D389" s="2"/>
      <c r="E389" s="2"/>
      <c r="F389" s="3" t="s">
        <v>291</v>
      </c>
      <c r="G389" s="21">
        <v>41113</v>
      </c>
      <c r="H389" s="56">
        <v>42500000</v>
      </c>
      <c r="I389" s="56">
        <v>42500000</v>
      </c>
      <c r="J389" s="18" t="s">
        <v>51</v>
      </c>
      <c r="K389" s="19"/>
      <c r="L389" s="19"/>
      <c r="M389" s="19" t="s">
        <v>16</v>
      </c>
    </row>
    <row r="390" spans="2:13" ht="39.75" customHeight="1">
      <c r="B390" s="3"/>
      <c r="C390" s="3"/>
      <c r="D390" s="2"/>
      <c r="E390" s="2"/>
      <c r="F390" s="3" t="s">
        <v>291</v>
      </c>
      <c r="G390" s="21">
        <v>41128</v>
      </c>
      <c r="H390" s="56">
        <v>1530000</v>
      </c>
      <c r="I390" s="56">
        <v>1530000</v>
      </c>
      <c r="J390" s="18" t="s">
        <v>295</v>
      </c>
      <c r="K390" s="19"/>
      <c r="L390" s="19"/>
      <c r="M390" s="19" t="s">
        <v>16</v>
      </c>
    </row>
    <row r="391" spans="2:13" ht="39.75" customHeight="1">
      <c r="B391" s="3"/>
      <c r="C391" s="3"/>
      <c r="D391" s="2"/>
      <c r="E391" s="2"/>
      <c r="F391" s="3" t="s">
        <v>291</v>
      </c>
      <c r="G391" s="21">
        <v>41352</v>
      </c>
      <c r="H391" s="56">
        <v>5255000</v>
      </c>
      <c r="I391" s="56">
        <v>5255000</v>
      </c>
      <c r="J391" s="18" t="s">
        <v>295</v>
      </c>
      <c r="K391" s="19"/>
      <c r="L391" s="19"/>
      <c r="M391" s="19" t="s">
        <v>16</v>
      </c>
    </row>
    <row r="392" spans="2:13" ht="39.75" customHeight="1">
      <c r="B392" s="3"/>
      <c r="C392" s="3"/>
      <c r="D392" s="2"/>
      <c r="E392" s="2"/>
      <c r="F392" s="3" t="s">
        <v>291</v>
      </c>
      <c r="G392" s="21">
        <v>41359</v>
      </c>
      <c r="H392" s="56">
        <v>10100000</v>
      </c>
      <c r="I392" s="56">
        <v>10100000</v>
      </c>
      <c r="J392" s="18" t="s">
        <v>292</v>
      </c>
      <c r="K392" s="19"/>
      <c r="L392" s="19"/>
      <c r="M392" s="19" t="s">
        <v>16</v>
      </c>
    </row>
    <row r="393" spans="2:13" ht="39.75" customHeight="1">
      <c r="B393" s="3"/>
      <c r="C393" s="3"/>
      <c r="D393" s="2"/>
      <c r="E393" s="2"/>
      <c r="F393" s="3" t="s">
        <v>291</v>
      </c>
      <c r="G393" s="21">
        <v>41360</v>
      </c>
      <c r="H393" s="56">
        <v>62975000</v>
      </c>
      <c r="I393" s="76">
        <v>54935000</v>
      </c>
      <c r="J393" s="18" t="s">
        <v>51</v>
      </c>
      <c r="K393" s="19"/>
      <c r="L393" s="19"/>
      <c r="M393" s="19" t="s">
        <v>16</v>
      </c>
    </row>
    <row r="394" spans="2:13" ht="39.75" customHeight="1">
      <c r="B394" s="3"/>
      <c r="C394" s="3"/>
      <c r="D394" s="2"/>
      <c r="E394" s="2"/>
      <c r="F394" s="3" t="s">
        <v>291</v>
      </c>
      <c r="G394" s="21">
        <v>41361</v>
      </c>
      <c r="H394" s="56">
        <v>84225000</v>
      </c>
      <c r="I394" s="76">
        <v>84224642</v>
      </c>
      <c r="J394" s="18" t="s">
        <v>49</v>
      </c>
      <c r="K394" s="19"/>
      <c r="L394" s="19"/>
      <c r="M394" s="19" t="s">
        <v>16</v>
      </c>
    </row>
    <row r="395" spans="2:13" ht="60" customHeight="1">
      <c r="B395" s="3"/>
      <c r="C395" s="3"/>
      <c r="D395" s="2"/>
      <c r="E395" s="2"/>
      <c r="F395" s="3" t="s">
        <v>291</v>
      </c>
      <c r="G395" s="21">
        <v>41361</v>
      </c>
      <c r="H395" s="56">
        <v>11283000</v>
      </c>
      <c r="I395" s="56">
        <v>4744000</v>
      </c>
      <c r="J395" s="18" t="s">
        <v>37</v>
      </c>
      <c r="K395" s="19"/>
      <c r="L395" s="19"/>
      <c r="M395" s="18" t="s">
        <v>560</v>
      </c>
    </row>
    <row r="396" spans="2:13" ht="39.75" customHeight="1">
      <c r="B396" s="3"/>
      <c r="C396" s="3"/>
      <c r="D396" s="2"/>
      <c r="E396" s="2"/>
      <c r="F396" s="3" t="s">
        <v>291</v>
      </c>
      <c r="G396" s="21">
        <v>41361</v>
      </c>
      <c r="H396" s="56">
        <v>144471000</v>
      </c>
      <c r="I396" s="76">
        <v>115264000</v>
      </c>
      <c r="J396" s="18" t="s">
        <v>296</v>
      </c>
      <c r="K396" s="19"/>
      <c r="L396" s="19"/>
      <c r="M396" s="19" t="s">
        <v>16</v>
      </c>
    </row>
    <row r="397" spans="2:13" ht="39.75" customHeight="1">
      <c r="B397" s="3"/>
      <c r="C397" s="3"/>
      <c r="D397" s="2"/>
      <c r="E397" s="2"/>
      <c r="F397" s="3" t="s">
        <v>291</v>
      </c>
      <c r="G397" s="39" t="s">
        <v>483</v>
      </c>
      <c r="H397" s="47">
        <v>21020875</v>
      </c>
      <c r="I397" s="76">
        <v>20650675</v>
      </c>
      <c r="J397" s="18" t="s">
        <v>26</v>
      </c>
      <c r="K397" s="19"/>
      <c r="L397" s="19"/>
      <c r="M397" s="19"/>
    </row>
    <row r="398" spans="2:13" ht="39.75" customHeight="1">
      <c r="B398" s="3"/>
      <c r="C398" s="3"/>
      <c r="D398" s="2"/>
      <c r="E398" s="2"/>
      <c r="F398" s="3" t="s">
        <v>291</v>
      </c>
      <c r="G398" s="21">
        <v>41407</v>
      </c>
      <c r="H398" s="56">
        <v>7148000</v>
      </c>
      <c r="I398" s="56">
        <v>7148000</v>
      </c>
      <c r="J398" s="18" t="s">
        <v>49</v>
      </c>
      <c r="K398" s="19"/>
      <c r="L398" s="19"/>
      <c r="M398" s="19"/>
    </row>
    <row r="399" spans="2:13" ht="39.75" customHeight="1">
      <c r="B399" s="3"/>
      <c r="C399" s="3"/>
      <c r="D399" s="2"/>
      <c r="E399" s="2"/>
      <c r="F399" s="3" t="s">
        <v>291</v>
      </c>
      <c r="G399" s="39" t="s">
        <v>484</v>
      </c>
      <c r="H399" s="56">
        <v>36676000</v>
      </c>
      <c r="I399" s="76">
        <v>20200000</v>
      </c>
      <c r="J399" s="18" t="s">
        <v>292</v>
      </c>
      <c r="K399" s="19"/>
      <c r="L399" s="19"/>
      <c r="M399" s="18" t="s">
        <v>551</v>
      </c>
    </row>
    <row r="400" spans="2:13" ht="60" customHeight="1">
      <c r="B400" s="3"/>
      <c r="C400" s="3"/>
      <c r="D400" s="2"/>
      <c r="E400" s="2"/>
      <c r="F400" s="3" t="s">
        <v>291</v>
      </c>
      <c r="G400" s="71" t="s">
        <v>485</v>
      </c>
      <c r="H400" s="47">
        <v>200319000</v>
      </c>
      <c r="I400" s="76">
        <v>173984273</v>
      </c>
      <c r="J400" s="18" t="s">
        <v>49</v>
      </c>
      <c r="K400" s="19"/>
      <c r="L400" s="19"/>
      <c r="M400" s="18" t="s">
        <v>562</v>
      </c>
    </row>
    <row r="401" spans="2:13" ht="39.75" customHeight="1">
      <c r="B401" s="3"/>
      <c r="C401" s="3"/>
      <c r="D401" s="2"/>
      <c r="E401" s="2"/>
      <c r="F401" s="3" t="s">
        <v>291</v>
      </c>
      <c r="G401" s="39" t="s">
        <v>486</v>
      </c>
      <c r="H401" s="56">
        <v>478124000</v>
      </c>
      <c r="I401" s="76">
        <v>466789000</v>
      </c>
      <c r="J401" s="18" t="s">
        <v>294</v>
      </c>
      <c r="K401" s="19"/>
      <c r="L401" s="19"/>
      <c r="M401" s="19"/>
    </row>
    <row r="402" spans="2:13" ht="60" customHeight="1">
      <c r="B402" s="3"/>
      <c r="C402" s="3"/>
      <c r="D402" s="2"/>
      <c r="E402" s="2"/>
      <c r="F402" s="3" t="s">
        <v>291</v>
      </c>
      <c r="G402" s="71" t="s">
        <v>487</v>
      </c>
      <c r="H402" s="47">
        <v>8285000</v>
      </c>
      <c r="I402" s="47">
        <v>8285000</v>
      </c>
      <c r="J402" s="18" t="s">
        <v>37</v>
      </c>
      <c r="K402" s="19"/>
      <c r="L402" s="19"/>
      <c r="M402" s="19"/>
    </row>
    <row r="403" spans="2:13" ht="39.75" customHeight="1">
      <c r="B403" s="3"/>
      <c r="C403" s="3"/>
      <c r="D403" s="2"/>
      <c r="E403" s="2"/>
      <c r="F403" s="3" t="s">
        <v>291</v>
      </c>
      <c r="G403" s="21">
        <v>41474</v>
      </c>
      <c r="H403" s="47">
        <v>6946000</v>
      </c>
      <c r="I403" s="76">
        <v>4777000</v>
      </c>
      <c r="J403" s="18" t="s">
        <v>293</v>
      </c>
      <c r="K403" s="19"/>
      <c r="L403" s="19"/>
      <c r="M403" s="19"/>
    </row>
    <row r="404" spans="2:13" ht="39.75" customHeight="1">
      <c r="B404" s="3"/>
      <c r="C404" s="3"/>
      <c r="D404" s="2"/>
      <c r="E404" s="2"/>
      <c r="F404" s="3" t="s">
        <v>291</v>
      </c>
      <c r="G404" s="21">
        <v>41722</v>
      </c>
      <c r="H404" s="47">
        <v>4950000</v>
      </c>
      <c r="I404" s="47">
        <v>0</v>
      </c>
      <c r="J404" s="18" t="s">
        <v>295</v>
      </c>
      <c r="K404" s="19"/>
      <c r="L404" s="19"/>
      <c r="M404" s="18" t="s">
        <v>561</v>
      </c>
    </row>
    <row r="405" spans="2:13" ht="39.75" customHeight="1">
      <c r="B405" s="3"/>
      <c r="C405" s="2"/>
      <c r="D405" s="2"/>
      <c r="E405" s="2"/>
      <c r="F405" s="19" t="s">
        <v>176</v>
      </c>
      <c r="G405" s="39" t="s">
        <v>175</v>
      </c>
      <c r="H405" s="50">
        <v>17640990</v>
      </c>
      <c r="I405" s="50">
        <v>17640990</v>
      </c>
      <c r="J405" s="2" t="s">
        <v>37</v>
      </c>
      <c r="K405" s="19"/>
      <c r="L405" s="19"/>
      <c r="M405" s="19" t="s">
        <v>171</v>
      </c>
    </row>
    <row r="406" spans="2:13" ht="39.75" customHeight="1">
      <c r="B406" s="3"/>
      <c r="C406" s="2"/>
      <c r="D406" s="2"/>
      <c r="E406" s="2"/>
      <c r="F406" s="19" t="s">
        <v>176</v>
      </c>
      <c r="G406" s="21">
        <v>41463</v>
      </c>
      <c r="H406" s="50">
        <v>114467000</v>
      </c>
      <c r="I406" s="50">
        <v>114467000</v>
      </c>
      <c r="J406" s="2" t="s">
        <v>172</v>
      </c>
      <c r="K406" s="19"/>
      <c r="L406" s="19"/>
      <c r="M406" s="19"/>
    </row>
    <row r="407" spans="2:13" ht="39.75" customHeight="1">
      <c r="B407" s="3"/>
      <c r="C407" s="2"/>
      <c r="D407" s="2"/>
      <c r="E407" s="2"/>
      <c r="F407" s="19" t="s">
        <v>176</v>
      </c>
      <c r="G407" s="39" t="s">
        <v>530</v>
      </c>
      <c r="H407" s="57">
        <v>426515148</v>
      </c>
      <c r="I407" s="57">
        <v>426515148</v>
      </c>
      <c r="J407" s="2" t="s">
        <v>37</v>
      </c>
      <c r="K407" s="19"/>
      <c r="L407" s="19"/>
      <c r="M407" s="19"/>
    </row>
    <row r="408" spans="2:13" ht="39.75" customHeight="1">
      <c r="B408" s="3"/>
      <c r="C408" s="2"/>
      <c r="D408" s="2"/>
      <c r="E408" s="2"/>
      <c r="F408" s="19" t="s">
        <v>176</v>
      </c>
      <c r="G408" s="39" t="s">
        <v>531</v>
      </c>
      <c r="H408" s="57">
        <v>274118000</v>
      </c>
      <c r="I408" s="76">
        <v>267734898</v>
      </c>
      <c r="J408" s="2" t="s">
        <v>26</v>
      </c>
      <c r="K408" s="19"/>
      <c r="L408" s="19"/>
      <c r="M408" s="19"/>
    </row>
    <row r="409" spans="2:13" ht="39.75" customHeight="1">
      <c r="B409" s="3"/>
      <c r="C409" s="2"/>
      <c r="D409" s="2"/>
      <c r="E409" s="2"/>
      <c r="F409" s="19" t="s">
        <v>176</v>
      </c>
      <c r="G409" s="39" t="s">
        <v>532</v>
      </c>
      <c r="H409" s="57">
        <v>342738000</v>
      </c>
      <c r="I409" s="57">
        <v>342738000</v>
      </c>
      <c r="J409" s="2" t="s">
        <v>49</v>
      </c>
      <c r="K409" s="19"/>
      <c r="L409" s="19"/>
      <c r="M409" s="19"/>
    </row>
    <row r="410" spans="2:13" ht="39.75" customHeight="1">
      <c r="B410" s="3"/>
      <c r="C410" s="2"/>
      <c r="D410" s="2" t="s">
        <v>174</v>
      </c>
      <c r="E410" s="2"/>
      <c r="F410" s="19"/>
      <c r="G410" s="21"/>
      <c r="H410" s="50">
        <f>SUM(H411:H414)</f>
        <v>67543000</v>
      </c>
      <c r="I410" s="50">
        <f>SUM(I411:I414)</f>
        <v>65808851</v>
      </c>
      <c r="J410" s="2"/>
      <c r="K410" s="19"/>
      <c r="L410" s="19"/>
      <c r="M410" s="19"/>
    </row>
    <row r="411" spans="2:13" ht="39.75" customHeight="1">
      <c r="B411" s="3"/>
      <c r="C411" s="2"/>
      <c r="D411" s="2"/>
      <c r="E411" s="2"/>
      <c r="F411" s="19" t="s">
        <v>173</v>
      </c>
      <c r="G411" s="21">
        <v>41463</v>
      </c>
      <c r="H411" s="50">
        <v>5800000</v>
      </c>
      <c r="I411" s="50">
        <v>5800000</v>
      </c>
      <c r="J411" s="2" t="s">
        <v>172</v>
      </c>
      <c r="K411" s="19"/>
      <c r="L411" s="19"/>
      <c r="M411" s="19"/>
    </row>
    <row r="412" spans="2:13" ht="39.75" customHeight="1">
      <c r="B412" s="3"/>
      <c r="C412" s="2"/>
      <c r="D412" s="2"/>
      <c r="E412" s="2"/>
      <c r="F412" s="19" t="s">
        <v>173</v>
      </c>
      <c r="G412" s="39" t="s">
        <v>533</v>
      </c>
      <c r="H412" s="57">
        <v>21502000</v>
      </c>
      <c r="I412" s="57">
        <v>21502000</v>
      </c>
      <c r="J412" s="2" t="s">
        <v>37</v>
      </c>
      <c r="K412" s="19"/>
      <c r="L412" s="19"/>
      <c r="M412" s="19"/>
    </row>
    <row r="413" spans="2:13" ht="39.75" customHeight="1">
      <c r="B413" s="3"/>
      <c r="C413" s="2"/>
      <c r="D413" s="2"/>
      <c r="E413" s="2"/>
      <c r="F413" s="19" t="s">
        <v>173</v>
      </c>
      <c r="G413" s="39" t="s">
        <v>531</v>
      </c>
      <c r="H413" s="57">
        <v>18197000</v>
      </c>
      <c r="I413" s="76">
        <v>16462851</v>
      </c>
      <c r="J413" s="2" t="s">
        <v>26</v>
      </c>
      <c r="K413" s="19"/>
      <c r="L413" s="19"/>
      <c r="M413" s="19"/>
    </row>
    <row r="414" spans="2:13" ht="39.75" customHeight="1">
      <c r="B414" s="3"/>
      <c r="C414" s="2"/>
      <c r="D414" s="2"/>
      <c r="E414" s="2"/>
      <c r="F414" s="19" t="s">
        <v>173</v>
      </c>
      <c r="G414" s="21">
        <v>41494</v>
      </c>
      <c r="H414" s="50">
        <v>22044000</v>
      </c>
      <c r="I414" s="50">
        <v>22044000</v>
      </c>
      <c r="J414" s="2" t="s">
        <v>49</v>
      </c>
      <c r="K414" s="19"/>
      <c r="L414" s="19"/>
      <c r="M414" s="19"/>
    </row>
    <row r="415" spans="2:13" ht="39.75" customHeight="1">
      <c r="B415" s="3"/>
      <c r="C415" s="18" t="s">
        <v>142</v>
      </c>
      <c r="D415" s="2"/>
      <c r="E415" s="2"/>
      <c r="F415" s="3"/>
      <c r="G415" s="35"/>
      <c r="H415" s="50">
        <f>H416+H428</f>
        <v>567866000</v>
      </c>
      <c r="I415" s="50">
        <f>I416+I428</f>
        <v>457325000</v>
      </c>
      <c r="J415" s="19"/>
      <c r="K415" s="19"/>
      <c r="L415" s="19"/>
      <c r="M415" s="19"/>
    </row>
    <row r="416" spans="2:13" ht="39.75" customHeight="1">
      <c r="B416" s="3"/>
      <c r="C416" s="3"/>
      <c r="D416" s="2" t="s">
        <v>143</v>
      </c>
      <c r="E416" s="2"/>
      <c r="F416" s="3"/>
      <c r="G416" s="35"/>
      <c r="H416" s="50">
        <f>H417+H426</f>
        <v>460876000</v>
      </c>
      <c r="I416" s="50">
        <f>I417+I426</f>
        <v>351747000</v>
      </c>
      <c r="J416" s="19"/>
      <c r="K416" s="19"/>
      <c r="L416" s="19"/>
      <c r="M416" s="19"/>
    </row>
    <row r="417" spans="2:13" ht="39.75" customHeight="1">
      <c r="B417" s="3"/>
      <c r="C417" s="3"/>
      <c r="D417" s="2"/>
      <c r="E417" s="2" t="s">
        <v>143</v>
      </c>
      <c r="F417" s="3"/>
      <c r="G417" s="35"/>
      <c r="H417" s="50">
        <f>SUM(H418:H425)</f>
        <v>446297000</v>
      </c>
      <c r="I417" s="50">
        <f>SUM(I418:I425)</f>
        <v>337168000</v>
      </c>
      <c r="J417" s="19"/>
      <c r="K417" s="19"/>
      <c r="L417" s="19"/>
      <c r="M417" s="19"/>
    </row>
    <row r="418" spans="2:13" ht="39.75" customHeight="1">
      <c r="B418" s="3"/>
      <c r="C418" s="3"/>
      <c r="D418" s="2"/>
      <c r="E418" s="2"/>
      <c r="F418" s="3" t="s">
        <v>144</v>
      </c>
      <c r="G418" s="12">
        <v>41348</v>
      </c>
      <c r="H418" s="50">
        <v>103145000</v>
      </c>
      <c r="I418" s="50">
        <v>103145000</v>
      </c>
      <c r="J418" s="19" t="s">
        <v>37</v>
      </c>
      <c r="K418" s="19"/>
      <c r="L418" s="19"/>
      <c r="M418" s="19" t="s">
        <v>27</v>
      </c>
    </row>
    <row r="419" spans="2:13" ht="39.75" customHeight="1">
      <c r="B419" s="3"/>
      <c r="C419" s="3"/>
      <c r="D419" s="2"/>
      <c r="E419" s="2"/>
      <c r="F419" s="3" t="s">
        <v>339</v>
      </c>
      <c r="G419" s="13" t="s">
        <v>343</v>
      </c>
      <c r="H419" s="50">
        <f>10595000+3850000</f>
        <v>14445000</v>
      </c>
      <c r="I419" s="50">
        <f>10595000+3850000</f>
        <v>14445000</v>
      </c>
      <c r="J419" s="19" t="s">
        <v>340</v>
      </c>
      <c r="K419" s="19"/>
      <c r="L419" s="19"/>
      <c r="M419" s="19"/>
    </row>
    <row r="420" spans="2:13" ht="60" customHeight="1">
      <c r="B420" s="3"/>
      <c r="C420" s="3"/>
      <c r="D420" s="2"/>
      <c r="E420" s="2"/>
      <c r="F420" s="3" t="s">
        <v>144</v>
      </c>
      <c r="G420" s="13" t="s">
        <v>342</v>
      </c>
      <c r="H420" s="50">
        <f>124000+1284000+5409000</f>
        <v>6817000</v>
      </c>
      <c r="I420" s="50">
        <f>124000+1284000+5409000</f>
        <v>6817000</v>
      </c>
      <c r="J420" s="19" t="s">
        <v>26</v>
      </c>
      <c r="K420" s="19"/>
      <c r="L420" s="19"/>
      <c r="M420" s="19"/>
    </row>
    <row r="421" spans="2:13" ht="60" customHeight="1">
      <c r="B421" s="3"/>
      <c r="C421" s="3"/>
      <c r="D421" s="2"/>
      <c r="E421" s="2"/>
      <c r="F421" s="3" t="s">
        <v>339</v>
      </c>
      <c r="G421" s="13" t="s">
        <v>535</v>
      </c>
      <c r="H421" s="51">
        <v>162484000</v>
      </c>
      <c r="I421" s="76">
        <v>64387000</v>
      </c>
      <c r="J421" s="19" t="s">
        <v>37</v>
      </c>
      <c r="K421" s="19"/>
      <c r="L421" s="19"/>
      <c r="M421" s="18" t="s">
        <v>552</v>
      </c>
    </row>
    <row r="422" spans="2:13" ht="39.75" customHeight="1">
      <c r="B422" s="3"/>
      <c r="C422" s="3"/>
      <c r="D422" s="2"/>
      <c r="E422" s="2"/>
      <c r="F422" s="3" t="s">
        <v>341</v>
      </c>
      <c r="G422" s="21">
        <v>41712</v>
      </c>
      <c r="H422" s="50">
        <v>59262000</v>
      </c>
      <c r="I422" s="76">
        <v>48230000</v>
      </c>
      <c r="J422" s="19" t="s">
        <v>37</v>
      </c>
      <c r="K422" s="19"/>
      <c r="L422" s="19"/>
      <c r="M422" s="18" t="s">
        <v>553</v>
      </c>
    </row>
    <row r="423" spans="2:13" ht="39.75" customHeight="1">
      <c r="B423" s="3"/>
      <c r="C423" s="3"/>
      <c r="D423" s="2"/>
      <c r="E423" s="2"/>
      <c r="F423" s="3" t="s">
        <v>144</v>
      </c>
      <c r="G423" s="12">
        <v>41712</v>
      </c>
      <c r="H423" s="50">
        <v>78371000</v>
      </c>
      <c r="I423" s="50">
        <v>78371000</v>
      </c>
      <c r="J423" s="19" t="s">
        <v>37</v>
      </c>
      <c r="K423" s="19"/>
      <c r="L423" s="19"/>
      <c r="M423" s="19"/>
    </row>
    <row r="424" spans="2:13" ht="39.75" customHeight="1">
      <c r="B424" s="3"/>
      <c r="C424" s="3"/>
      <c r="D424" s="2"/>
      <c r="E424" s="2"/>
      <c r="F424" s="3" t="s">
        <v>341</v>
      </c>
      <c r="G424" s="12">
        <v>41715</v>
      </c>
      <c r="H424" s="50">
        <v>20462000</v>
      </c>
      <c r="I424" s="50">
        <v>20462000</v>
      </c>
      <c r="J424" s="19" t="s">
        <v>26</v>
      </c>
      <c r="K424" s="19"/>
      <c r="L424" s="19"/>
      <c r="M424" s="19"/>
    </row>
    <row r="425" spans="2:13" ht="39.75" customHeight="1">
      <c r="B425" s="3"/>
      <c r="C425" s="3"/>
      <c r="D425" s="2"/>
      <c r="E425" s="2"/>
      <c r="F425" s="3" t="s">
        <v>341</v>
      </c>
      <c r="G425" s="12">
        <v>41715</v>
      </c>
      <c r="H425" s="50">
        <v>1311000</v>
      </c>
      <c r="I425" s="50">
        <v>1311000</v>
      </c>
      <c r="J425" s="19" t="s">
        <v>49</v>
      </c>
      <c r="K425" s="19"/>
      <c r="L425" s="19"/>
      <c r="M425" s="19"/>
    </row>
    <row r="426" spans="2:16" ht="39.75" customHeight="1">
      <c r="B426" s="3"/>
      <c r="C426" s="3"/>
      <c r="D426" s="2"/>
      <c r="E426" s="2" t="s">
        <v>338</v>
      </c>
      <c r="F426" s="3"/>
      <c r="G426" s="12"/>
      <c r="H426" s="52">
        <f>H427</f>
        <v>14579000</v>
      </c>
      <c r="I426" s="52">
        <f>I427</f>
        <v>14579000</v>
      </c>
      <c r="J426" s="19"/>
      <c r="K426" s="19"/>
      <c r="L426" s="19"/>
      <c r="M426" s="19"/>
      <c r="P426" s="24">
        <v>162484000</v>
      </c>
    </row>
    <row r="427" spans="2:13" ht="39.75" customHeight="1">
      <c r="B427" s="3"/>
      <c r="C427" s="3"/>
      <c r="D427" s="2"/>
      <c r="E427" s="2"/>
      <c r="F427" s="3" t="s">
        <v>337</v>
      </c>
      <c r="G427" s="12">
        <v>41712</v>
      </c>
      <c r="H427" s="52">
        <v>14579000</v>
      </c>
      <c r="I427" s="52">
        <v>14579000</v>
      </c>
      <c r="J427" s="19" t="s">
        <v>37</v>
      </c>
      <c r="K427" s="19"/>
      <c r="L427" s="19"/>
      <c r="M427" s="19"/>
    </row>
    <row r="428" spans="2:13" ht="39.75" customHeight="1">
      <c r="B428" s="3"/>
      <c r="C428" s="3"/>
      <c r="D428" s="2" t="s">
        <v>145</v>
      </c>
      <c r="E428" s="2"/>
      <c r="F428" s="3"/>
      <c r="G428" s="35"/>
      <c r="H428" s="50">
        <f>H429+H437</f>
        <v>106990000</v>
      </c>
      <c r="I428" s="50">
        <f>I429+I437</f>
        <v>105578000</v>
      </c>
      <c r="J428" s="19"/>
      <c r="K428" s="19"/>
      <c r="L428" s="19"/>
      <c r="M428" s="19"/>
    </row>
    <row r="429" spans="2:13" ht="39.75" customHeight="1">
      <c r="B429" s="3"/>
      <c r="C429" s="3"/>
      <c r="D429" s="2"/>
      <c r="E429" s="2" t="s">
        <v>145</v>
      </c>
      <c r="F429" s="3"/>
      <c r="G429" s="35"/>
      <c r="H429" s="55">
        <f>SUM(H430:H436)</f>
        <v>101453000</v>
      </c>
      <c r="I429" s="55">
        <f>SUM(I430:I436)</f>
        <v>100041000</v>
      </c>
      <c r="J429" s="19"/>
      <c r="K429" s="19"/>
      <c r="L429" s="19"/>
      <c r="M429" s="19"/>
    </row>
    <row r="430" spans="2:13" ht="39.75" customHeight="1">
      <c r="B430" s="3"/>
      <c r="C430" s="3"/>
      <c r="D430" s="2"/>
      <c r="E430" s="2"/>
      <c r="F430" s="3" t="s">
        <v>144</v>
      </c>
      <c r="G430" s="13">
        <v>41348</v>
      </c>
      <c r="H430" s="52">
        <v>18841000</v>
      </c>
      <c r="I430" s="52">
        <v>18841000</v>
      </c>
      <c r="J430" s="19" t="s">
        <v>37</v>
      </c>
      <c r="K430" s="19"/>
      <c r="L430" s="19"/>
      <c r="M430" s="19" t="s">
        <v>27</v>
      </c>
    </row>
    <row r="431" spans="2:13" ht="39.75" customHeight="1">
      <c r="B431" s="3"/>
      <c r="C431" s="3"/>
      <c r="D431" s="2"/>
      <c r="E431" s="2"/>
      <c r="F431" s="3" t="s">
        <v>144</v>
      </c>
      <c r="G431" s="39" t="s">
        <v>344</v>
      </c>
      <c r="H431" s="52">
        <f>808000+5268000</f>
        <v>6076000</v>
      </c>
      <c r="I431" s="52">
        <f>808000+5268000</f>
        <v>6076000</v>
      </c>
      <c r="J431" s="19" t="s">
        <v>26</v>
      </c>
      <c r="K431" s="19"/>
      <c r="L431" s="19"/>
      <c r="M431" s="19"/>
    </row>
    <row r="432" spans="2:13" ht="39.75" customHeight="1">
      <c r="B432" s="3"/>
      <c r="C432" s="3"/>
      <c r="D432" s="2"/>
      <c r="E432" s="2"/>
      <c r="F432" s="3" t="s">
        <v>144</v>
      </c>
      <c r="G432" s="13" t="s">
        <v>345</v>
      </c>
      <c r="H432" s="52">
        <f>7456000+329000</f>
        <v>7785000</v>
      </c>
      <c r="I432" s="52">
        <f>7456000+329000</f>
        <v>7785000</v>
      </c>
      <c r="J432" s="19" t="s">
        <v>37</v>
      </c>
      <c r="K432" s="19"/>
      <c r="L432" s="19"/>
      <c r="M432" s="19"/>
    </row>
    <row r="433" spans="2:13" ht="39.75" customHeight="1">
      <c r="B433" s="3"/>
      <c r="C433" s="3"/>
      <c r="D433" s="2"/>
      <c r="E433" s="2"/>
      <c r="F433" s="3" t="s">
        <v>341</v>
      </c>
      <c r="G433" s="12">
        <v>41712</v>
      </c>
      <c r="H433" s="53">
        <v>23180000</v>
      </c>
      <c r="I433" s="76">
        <v>21768000</v>
      </c>
      <c r="J433" s="19" t="s">
        <v>37</v>
      </c>
      <c r="K433" s="19"/>
      <c r="L433" s="19"/>
      <c r="M433" s="18" t="s">
        <v>554</v>
      </c>
    </row>
    <row r="434" spans="2:13" ht="39.75" customHeight="1">
      <c r="B434" s="3"/>
      <c r="C434" s="3"/>
      <c r="D434" s="2"/>
      <c r="E434" s="2"/>
      <c r="F434" s="3" t="s">
        <v>169</v>
      </c>
      <c r="G434" s="13">
        <v>41712</v>
      </c>
      <c r="H434" s="52">
        <f>26280000</f>
        <v>26280000</v>
      </c>
      <c r="I434" s="52">
        <f>26280000</f>
        <v>26280000</v>
      </c>
      <c r="J434" s="19" t="s">
        <v>37</v>
      </c>
      <c r="K434" s="19"/>
      <c r="L434" s="19"/>
      <c r="M434" s="19"/>
    </row>
    <row r="435" spans="2:13" ht="39.75" customHeight="1">
      <c r="B435" s="3"/>
      <c r="C435" s="3"/>
      <c r="D435" s="2"/>
      <c r="E435" s="2"/>
      <c r="F435" s="3" t="s">
        <v>341</v>
      </c>
      <c r="G435" s="12">
        <v>41715</v>
      </c>
      <c r="H435" s="53">
        <v>17243000</v>
      </c>
      <c r="I435" s="53">
        <v>17243000</v>
      </c>
      <c r="J435" s="19" t="s">
        <v>26</v>
      </c>
      <c r="K435" s="19"/>
      <c r="L435" s="19"/>
      <c r="M435" s="19"/>
    </row>
    <row r="436" spans="2:13" ht="39.75" customHeight="1">
      <c r="B436" s="3"/>
      <c r="C436" s="3"/>
      <c r="D436" s="2"/>
      <c r="E436" s="2"/>
      <c r="F436" s="3" t="s">
        <v>341</v>
      </c>
      <c r="G436" s="12">
        <v>41715</v>
      </c>
      <c r="H436" s="53">
        <v>2048000</v>
      </c>
      <c r="I436" s="53">
        <v>2048000</v>
      </c>
      <c r="J436" s="19" t="s">
        <v>49</v>
      </c>
      <c r="K436" s="19"/>
      <c r="L436" s="19"/>
      <c r="M436" s="19"/>
    </row>
    <row r="437" spans="2:13" ht="39.75" customHeight="1">
      <c r="B437" s="3"/>
      <c r="C437" s="3"/>
      <c r="D437" s="2"/>
      <c r="E437" s="2" t="s">
        <v>338</v>
      </c>
      <c r="F437" s="3"/>
      <c r="G437" s="12"/>
      <c r="H437" s="52">
        <f>H438</f>
        <v>5537000</v>
      </c>
      <c r="I437" s="52">
        <f>I438</f>
        <v>5537000</v>
      </c>
      <c r="J437" s="19"/>
      <c r="K437" s="19"/>
      <c r="L437" s="19"/>
      <c r="M437" s="19"/>
    </row>
    <row r="438" spans="2:13" ht="39.75" customHeight="1">
      <c r="B438" s="3"/>
      <c r="C438" s="3"/>
      <c r="D438" s="2"/>
      <c r="E438" s="2"/>
      <c r="F438" s="3" t="s">
        <v>337</v>
      </c>
      <c r="G438" s="12">
        <v>41712</v>
      </c>
      <c r="H438" s="52">
        <v>5537000</v>
      </c>
      <c r="I438" s="52">
        <v>5537000</v>
      </c>
      <c r="J438" s="19" t="s">
        <v>37</v>
      </c>
      <c r="K438" s="19"/>
      <c r="L438" s="19"/>
      <c r="M438" s="19"/>
    </row>
    <row r="439" spans="2:13" ht="39.75" customHeight="1">
      <c r="B439" s="3"/>
      <c r="C439" s="2" t="s">
        <v>346</v>
      </c>
      <c r="D439" s="2"/>
      <c r="E439" s="2"/>
      <c r="F439" s="3"/>
      <c r="G439" s="12"/>
      <c r="H439" s="52">
        <f>H440</f>
        <v>18764000</v>
      </c>
      <c r="I439" s="52">
        <f>I440</f>
        <v>18764000</v>
      </c>
      <c r="J439" s="19"/>
      <c r="K439" s="19"/>
      <c r="L439" s="19"/>
      <c r="M439" s="19"/>
    </row>
    <row r="440" spans="2:13" ht="39.75" customHeight="1">
      <c r="B440" s="3"/>
      <c r="C440" s="3"/>
      <c r="D440" s="2" t="s">
        <v>347</v>
      </c>
      <c r="E440" s="2"/>
      <c r="F440" s="3"/>
      <c r="G440" s="12"/>
      <c r="H440" s="52">
        <f>H441</f>
        <v>18764000</v>
      </c>
      <c r="I440" s="52">
        <f>I441</f>
        <v>18764000</v>
      </c>
      <c r="J440" s="19"/>
      <c r="K440" s="19"/>
      <c r="L440" s="19"/>
      <c r="M440" s="19"/>
    </row>
    <row r="441" spans="2:13" ht="60" customHeight="1">
      <c r="B441" s="3"/>
      <c r="C441" s="3"/>
      <c r="D441" s="2"/>
      <c r="E441" s="2" t="s">
        <v>348</v>
      </c>
      <c r="F441" s="3"/>
      <c r="G441" s="12"/>
      <c r="H441" s="52">
        <f>SUM(H442:H443)</f>
        <v>18764000</v>
      </c>
      <c r="I441" s="52">
        <f>SUM(I442:I443)</f>
        <v>18764000</v>
      </c>
      <c r="J441" s="19"/>
      <c r="K441" s="19"/>
      <c r="L441" s="19"/>
      <c r="M441" s="19"/>
    </row>
    <row r="442" spans="2:13" ht="39.75" customHeight="1">
      <c r="B442" s="3"/>
      <c r="C442" s="3"/>
      <c r="D442" s="2"/>
      <c r="E442" s="2"/>
      <c r="F442" s="3" t="s">
        <v>349</v>
      </c>
      <c r="G442" s="12">
        <v>41712</v>
      </c>
      <c r="H442" s="52">
        <v>447000</v>
      </c>
      <c r="I442" s="52">
        <v>447000</v>
      </c>
      <c r="J442" s="19" t="s">
        <v>37</v>
      </c>
      <c r="K442" s="19"/>
      <c r="L442" s="19"/>
      <c r="M442" s="19"/>
    </row>
    <row r="443" spans="2:13" ht="39.75" customHeight="1">
      <c r="B443" s="3"/>
      <c r="C443" s="3"/>
      <c r="D443" s="2"/>
      <c r="E443" s="2"/>
      <c r="F443" s="3" t="s">
        <v>350</v>
      </c>
      <c r="G443" s="12">
        <v>41712</v>
      </c>
      <c r="H443" s="52">
        <v>18317000</v>
      </c>
      <c r="I443" s="52">
        <v>18317000</v>
      </c>
      <c r="J443" s="19" t="s">
        <v>37</v>
      </c>
      <c r="K443" s="19"/>
      <c r="L443" s="19"/>
      <c r="M443" s="19"/>
    </row>
    <row r="444" spans="2:13" ht="39.75" customHeight="1">
      <c r="B444" s="3"/>
      <c r="C444" s="18" t="s">
        <v>23</v>
      </c>
      <c r="D444" s="18"/>
      <c r="E444" s="18"/>
      <c r="F444" s="2"/>
      <c r="G444" s="12"/>
      <c r="H444" s="50">
        <f>H445</f>
        <v>3841659145</v>
      </c>
      <c r="I444" s="50">
        <f>I445</f>
        <v>3228979745</v>
      </c>
      <c r="J444" s="18"/>
      <c r="K444" s="19"/>
      <c r="L444" s="19"/>
      <c r="M444" s="19"/>
    </row>
    <row r="445" spans="2:13" ht="39.75" customHeight="1">
      <c r="B445" s="3"/>
      <c r="C445" s="2"/>
      <c r="D445" s="2" t="s">
        <v>24</v>
      </c>
      <c r="E445" s="2"/>
      <c r="F445" s="2"/>
      <c r="G445" s="12"/>
      <c r="H445" s="50">
        <f>H446+H461+H465</f>
        <v>3841659145</v>
      </c>
      <c r="I445" s="50">
        <f>I446+I461+I465</f>
        <v>3228979745</v>
      </c>
      <c r="J445" s="18"/>
      <c r="K445" s="19"/>
      <c r="L445" s="19"/>
      <c r="M445" s="19"/>
    </row>
    <row r="446" spans="2:13" ht="39.75" customHeight="1">
      <c r="B446" s="2"/>
      <c r="C446" s="2"/>
      <c r="D446" s="2"/>
      <c r="E446" s="2" t="s">
        <v>146</v>
      </c>
      <c r="F446" s="2"/>
      <c r="G446" s="39"/>
      <c r="H446" s="44">
        <f>SUM(H447:H460)</f>
        <v>2843482187</v>
      </c>
      <c r="I446" s="44">
        <f>SUM(I447:I460)</f>
        <v>2466865237</v>
      </c>
      <c r="J446" s="18"/>
      <c r="K446" s="18"/>
      <c r="L446" s="18"/>
      <c r="M446" s="18"/>
    </row>
    <row r="447" spans="2:13" ht="39.75" customHeight="1">
      <c r="B447" s="2"/>
      <c r="C447" s="2"/>
      <c r="D447" s="2"/>
      <c r="E447" s="2"/>
      <c r="F447" s="2" t="s">
        <v>146</v>
      </c>
      <c r="G447" s="39" t="s">
        <v>318</v>
      </c>
      <c r="H447" s="44">
        <v>49983212</v>
      </c>
      <c r="I447" s="44">
        <v>49983212</v>
      </c>
      <c r="J447" s="18" t="s">
        <v>147</v>
      </c>
      <c r="K447" s="18"/>
      <c r="L447" s="18"/>
      <c r="M447" s="18" t="s">
        <v>16</v>
      </c>
    </row>
    <row r="448" spans="2:13" ht="60" customHeight="1">
      <c r="B448" s="2"/>
      <c r="C448" s="2"/>
      <c r="D448" s="2"/>
      <c r="E448" s="2"/>
      <c r="F448" s="2" t="s">
        <v>146</v>
      </c>
      <c r="G448" s="39" t="s">
        <v>319</v>
      </c>
      <c r="H448" s="44">
        <v>52500000</v>
      </c>
      <c r="I448" s="44">
        <v>52500000</v>
      </c>
      <c r="J448" s="18" t="s">
        <v>148</v>
      </c>
      <c r="K448" s="18"/>
      <c r="L448" s="18"/>
      <c r="M448" s="18" t="s">
        <v>16</v>
      </c>
    </row>
    <row r="449" spans="2:13" ht="60" customHeight="1">
      <c r="B449" s="2"/>
      <c r="C449" s="2"/>
      <c r="D449" s="2"/>
      <c r="E449" s="2"/>
      <c r="F449" s="2" t="s">
        <v>146</v>
      </c>
      <c r="G449" s="39" t="s">
        <v>320</v>
      </c>
      <c r="H449" s="44">
        <f>115000000-325</f>
        <v>114999675</v>
      </c>
      <c r="I449" s="44">
        <f>115000000-325</f>
        <v>114999675</v>
      </c>
      <c r="J449" s="18" t="s">
        <v>149</v>
      </c>
      <c r="K449" s="18"/>
      <c r="L449" s="18"/>
      <c r="M449" s="18" t="s">
        <v>16</v>
      </c>
    </row>
    <row r="450" spans="2:13" ht="60" customHeight="1">
      <c r="B450" s="2"/>
      <c r="C450" s="2"/>
      <c r="D450" s="2"/>
      <c r="E450" s="2"/>
      <c r="F450" s="2" t="s">
        <v>146</v>
      </c>
      <c r="G450" s="39" t="s">
        <v>321</v>
      </c>
      <c r="H450" s="44">
        <v>525000000</v>
      </c>
      <c r="I450" s="44">
        <v>525000000</v>
      </c>
      <c r="J450" s="18" t="s">
        <v>150</v>
      </c>
      <c r="K450" s="18"/>
      <c r="L450" s="18"/>
      <c r="M450" s="18" t="s">
        <v>16</v>
      </c>
    </row>
    <row r="451" spans="2:13" ht="39.75" customHeight="1">
      <c r="B451" s="2"/>
      <c r="C451" s="2"/>
      <c r="D451" s="2"/>
      <c r="E451" s="2"/>
      <c r="F451" s="2" t="s">
        <v>146</v>
      </c>
      <c r="G451" s="39">
        <v>41045</v>
      </c>
      <c r="H451" s="44">
        <v>75100000</v>
      </c>
      <c r="I451" s="44">
        <v>75100000</v>
      </c>
      <c r="J451" s="18" t="s">
        <v>83</v>
      </c>
      <c r="K451" s="18"/>
      <c r="L451" s="18"/>
      <c r="M451" s="18" t="s">
        <v>16</v>
      </c>
    </row>
    <row r="452" spans="2:13" ht="39.75" customHeight="1">
      <c r="B452" s="2"/>
      <c r="C452" s="2"/>
      <c r="D452" s="2"/>
      <c r="E452" s="2"/>
      <c r="F452" s="2" t="s">
        <v>146</v>
      </c>
      <c r="G452" s="39" t="s">
        <v>322</v>
      </c>
      <c r="H452" s="44">
        <v>250000000</v>
      </c>
      <c r="I452" s="76">
        <v>235210050</v>
      </c>
      <c r="J452" s="18" t="s">
        <v>147</v>
      </c>
      <c r="K452" s="18"/>
      <c r="L452" s="18"/>
      <c r="M452" s="18" t="s">
        <v>555</v>
      </c>
    </row>
    <row r="453" spans="2:13" ht="60" customHeight="1">
      <c r="B453" s="2"/>
      <c r="C453" s="2"/>
      <c r="D453" s="2"/>
      <c r="E453" s="2"/>
      <c r="F453" s="2" t="s">
        <v>146</v>
      </c>
      <c r="G453" s="39" t="s">
        <v>323</v>
      </c>
      <c r="H453" s="44">
        <f>75000000-75</f>
        <v>74999925</v>
      </c>
      <c r="I453" s="44">
        <f>75000000-75</f>
        <v>74999925</v>
      </c>
      <c r="J453" s="18" t="s">
        <v>150</v>
      </c>
      <c r="K453" s="18"/>
      <c r="L453" s="18"/>
      <c r="M453" s="18"/>
    </row>
    <row r="454" spans="2:13" ht="60" customHeight="1">
      <c r="B454" s="2"/>
      <c r="C454" s="2"/>
      <c r="D454" s="2"/>
      <c r="E454" s="2"/>
      <c r="F454" s="2" t="s">
        <v>146</v>
      </c>
      <c r="G454" s="39" t="s">
        <v>324</v>
      </c>
      <c r="H454" s="44">
        <v>122900000</v>
      </c>
      <c r="I454" s="44">
        <v>122900000</v>
      </c>
      <c r="J454" s="18" t="s">
        <v>76</v>
      </c>
      <c r="K454" s="18"/>
      <c r="L454" s="18"/>
      <c r="M454" s="18"/>
    </row>
    <row r="455" spans="2:13" ht="60" customHeight="1">
      <c r="B455" s="2"/>
      <c r="C455" s="2"/>
      <c r="D455" s="2"/>
      <c r="E455" s="2"/>
      <c r="F455" s="2" t="s">
        <v>146</v>
      </c>
      <c r="G455" s="39" t="s">
        <v>324</v>
      </c>
      <c r="H455" s="44">
        <v>425000000</v>
      </c>
      <c r="I455" s="76">
        <v>400000000</v>
      </c>
      <c r="J455" s="18" t="s">
        <v>153</v>
      </c>
      <c r="K455" s="18"/>
      <c r="L455" s="18"/>
      <c r="M455" s="18" t="s">
        <v>556</v>
      </c>
    </row>
    <row r="456" spans="2:13" ht="39.75" customHeight="1">
      <c r="B456" s="2"/>
      <c r="C456" s="2"/>
      <c r="D456" s="2"/>
      <c r="E456" s="2"/>
      <c r="F456" s="2" t="s">
        <v>146</v>
      </c>
      <c r="G456" s="39" t="s">
        <v>325</v>
      </c>
      <c r="H456" s="44">
        <v>704500000</v>
      </c>
      <c r="I456" s="76">
        <v>367673000</v>
      </c>
      <c r="J456" s="18" t="s">
        <v>83</v>
      </c>
      <c r="K456" s="18"/>
      <c r="L456" s="18"/>
      <c r="M456" s="18" t="s">
        <v>557</v>
      </c>
    </row>
    <row r="457" spans="2:13" ht="60" customHeight="1">
      <c r="B457" s="2"/>
      <c r="C457" s="2"/>
      <c r="D457" s="2"/>
      <c r="E457" s="2"/>
      <c r="F457" s="2" t="s">
        <v>146</v>
      </c>
      <c r="G457" s="39" t="s">
        <v>326</v>
      </c>
      <c r="H457" s="44">
        <v>291000000</v>
      </c>
      <c r="I457" s="44">
        <v>291000000</v>
      </c>
      <c r="J457" s="18" t="s">
        <v>151</v>
      </c>
      <c r="K457" s="18"/>
      <c r="L457" s="18"/>
      <c r="M457" s="18"/>
    </row>
    <row r="458" spans="2:13" ht="39.75" customHeight="1">
      <c r="B458" s="2"/>
      <c r="C458" s="2"/>
      <c r="D458" s="2"/>
      <c r="E458" s="2"/>
      <c r="F458" s="2" t="s">
        <v>146</v>
      </c>
      <c r="G458" s="39">
        <v>41431</v>
      </c>
      <c r="H458" s="44">
        <v>5000000</v>
      </c>
      <c r="I458" s="44">
        <v>5000000</v>
      </c>
      <c r="J458" s="18" t="s">
        <v>152</v>
      </c>
      <c r="K458" s="18"/>
      <c r="L458" s="18"/>
      <c r="M458" s="18"/>
    </row>
    <row r="459" spans="2:13" ht="39.75" customHeight="1">
      <c r="B459" s="2"/>
      <c r="C459" s="2"/>
      <c r="D459" s="2"/>
      <c r="E459" s="2"/>
      <c r="F459" s="2" t="s">
        <v>146</v>
      </c>
      <c r="G459" s="39" t="s">
        <v>327</v>
      </c>
      <c r="H459" s="44">
        <v>112499625</v>
      </c>
      <c r="I459" s="44">
        <v>112499625</v>
      </c>
      <c r="J459" s="18" t="s">
        <v>148</v>
      </c>
      <c r="K459" s="18"/>
      <c r="L459" s="18"/>
      <c r="M459" s="18"/>
    </row>
    <row r="460" spans="2:13" ht="39.75" customHeight="1">
      <c r="B460" s="2"/>
      <c r="C460" s="2"/>
      <c r="D460" s="2"/>
      <c r="E460" s="2"/>
      <c r="F460" s="2" t="s">
        <v>146</v>
      </c>
      <c r="G460" s="39" t="s">
        <v>327</v>
      </c>
      <c r="H460" s="44">
        <v>39999750</v>
      </c>
      <c r="I460" s="44">
        <v>39999750</v>
      </c>
      <c r="J460" s="18" t="s">
        <v>149</v>
      </c>
      <c r="K460" s="18"/>
      <c r="L460" s="18"/>
      <c r="M460" s="18"/>
    </row>
    <row r="461" spans="2:13" ht="39.75" customHeight="1">
      <c r="B461" s="2"/>
      <c r="C461" s="2"/>
      <c r="D461" s="2"/>
      <c r="E461" s="2" t="s">
        <v>154</v>
      </c>
      <c r="F461" s="2"/>
      <c r="G461" s="39"/>
      <c r="H461" s="44">
        <f>SUM(H462:H464)</f>
        <v>15955000</v>
      </c>
      <c r="I461" s="44">
        <f>SUM(I462:I464)</f>
        <v>15143000</v>
      </c>
      <c r="J461" s="18"/>
      <c r="K461" s="18"/>
      <c r="L461" s="18"/>
      <c r="M461" s="18"/>
    </row>
    <row r="462" spans="2:13" ht="60" customHeight="1">
      <c r="B462" s="2"/>
      <c r="C462" s="2"/>
      <c r="D462" s="2"/>
      <c r="E462" s="2"/>
      <c r="F462" s="2" t="s">
        <v>305</v>
      </c>
      <c r="G462" s="39" t="s">
        <v>328</v>
      </c>
      <c r="H462" s="44">
        <v>11935000</v>
      </c>
      <c r="I462" s="44">
        <v>11935000</v>
      </c>
      <c r="J462" s="18" t="s">
        <v>49</v>
      </c>
      <c r="K462" s="18"/>
      <c r="L462" s="18"/>
      <c r="M462" s="18"/>
    </row>
    <row r="463" spans="2:13" ht="39.75" customHeight="1">
      <c r="B463" s="2"/>
      <c r="C463" s="2"/>
      <c r="D463" s="2"/>
      <c r="E463" s="2"/>
      <c r="F463" s="2" t="s">
        <v>305</v>
      </c>
      <c r="G463" s="39" t="s">
        <v>329</v>
      </c>
      <c r="H463" s="44">
        <v>3000000</v>
      </c>
      <c r="I463" s="44">
        <v>3000000</v>
      </c>
      <c r="J463" s="18" t="s">
        <v>37</v>
      </c>
      <c r="K463" s="18"/>
      <c r="L463" s="18"/>
      <c r="M463" s="18"/>
    </row>
    <row r="464" spans="2:13" ht="39.75" customHeight="1">
      <c r="B464" s="2"/>
      <c r="C464" s="2"/>
      <c r="D464" s="2"/>
      <c r="E464" s="2"/>
      <c r="F464" s="2" t="s">
        <v>305</v>
      </c>
      <c r="G464" s="39">
        <v>41429</v>
      </c>
      <c r="H464" s="44">
        <v>1020000</v>
      </c>
      <c r="I464" s="76">
        <v>208000</v>
      </c>
      <c r="J464" s="18" t="s">
        <v>26</v>
      </c>
      <c r="K464" s="18"/>
      <c r="L464" s="18"/>
      <c r="M464" s="18"/>
    </row>
    <row r="465" spans="2:13" ht="39.75" customHeight="1">
      <c r="B465" s="3"/>
      <c r="C465" s="2"/>
      <c r="D465" s="2"/>
      <c r="E465" s="2" t="s">
        <v>25</v>
      </c>
      <c r="F465" s="2"/>
      <c r="G465" s="12"/>
      <c r="H465" s="50">
        <f>SUM(H466:H471)</f>
        <v>982221958</v>
      </c>
      <c r="I465" s="50">
        <f>SUM(I466:I471)</f>
        <v>746971508</v>
      </c>
      <c r="J465" s="18"/>
      <c r="K465" s="19"/>
      <c r="L465" s="19"/>
      <c r="M465" s="19"/>
    </row>
    <row r="466" spans="2:13" ht="39.75" customHeight="1">
      <c r="B466" s="3"/>
      <c r="C466" s="3"/>
      <c r="D466" s="2"/>
      <c r="E466" s="2"/>
      <c r="F466" s="2" t="s">
        <v>25</v>
      </c>
      <c r="G466" s="13" t="s">
        <v>379</v>
      </c>
      <c r="H466" s="52">
        <v>85023500</v>
      </c>
      <c r="I466" s="52">
        <v>85023500</v>
      </c>
      <c r="J466" s="18" t="s">
        <v>26</v>
      </c>
      <c r="K466" s="19"/>
      <c r="L466" s="19"/>
      <c r="M466" s="19" t="s">
        <v>48</v>
      </c>
    </row>
    <row r="467" spans="2:13" ht="39.75" customHeight="1">
      <c r="B467" s="3"/>
      <c r="C467" s="3"/>
      <c r="D467" s="2"/>
      <c r="E467" s="2"/>
      <c r="F467" s="2" t="s">
        <v>25</v>
      </c>
      <c r="G467" s="12">
        <v>41036</v>
      </c>
      <c r="H467" s="52">
        <v>124699000</v>
      </c>
      <c r="I467" s="52">
        <v>124699000</v>
      </c>
      <c r="J467" s="18" t="s">
        <v>37</v>
      </c>
      <c r="K467" s="19"/>
      <c r="L467" s="19"/>
      <c r="M467" s="19" t="s">
        <v>48</v>
      </c>
    </row>
    <row r="468" spans="2:13" ht="39.75" customHeight="1">
      <c r="B468" s="3"/>
      <c r="C468" s="3"/>
      <c r="D468" s="2"/>
      <c r="E468" s="2"/>
      <c r="F468" s="2" t="s">
        <v>25</v>
      </c>
      <c r="G468" s="13" t="s">
        <v>380</v>
      </c>
      <c r="H468" s="52">
        <f>100000000-100</f>
        <v>99999900</v>
      </c>
      <c r="I468" s="52">
        <f>100000000-100</f>
        <v>99999900</v>
      </c>
      <c r="J468" s="18" t="s">
        <v>49</v>
      </c>
      <c r="K468" s="19"/>
      <c r="L468" s="19"/>
      <c r="M468" s="19" t="s">
        <v>48</v>
      </c>
    </row>
    <row r="469" spans="2:13" ht="75" customHeight="1">
      <c r="B469" s="3"/>
      <c r="C469" s="3"/>
      <c r="D469" s="2"/>
      <c r="E469" s="2"/>
      <c r="F469" s="2" t="s">
        <v>25</v>
      </c>
      <c r="G469" s="13" t="s">
        <v>381</v>
      </c>
      <c r="H469" s="52">
        <f>310000000+25000000-442</f>
        <v>334999558</v>
      </c>
      <c r="I469" s="52">
        <f>310000000+25000000-442</f>
        <v>334999558</v>
      </c>
      <c r="J469" s="18" t="s">
        <v>49</v>
      </c>
      <c r="K469" s="19"/>
      <c r="L469" s="19"/>
      <c r="M469" s="19"/>
    </row>
    <row r="470" spans="2:13" ht="39.75" customHeight="1">
      <c r="B470" s="3"/>
      <c r="C470" s="3"/>
      <c r="D470" s="2"/>
      <c r="E470" s="2"/>
      <c r="F470" s="2" t="s">
        <v>25</v>
      </c>
      <c r="G470" s="12">
        <v>41423</v>
      </c>
      <c r="H470" s="52">
        <v>250000000</v>
      </c>
      <c r="I470" s="76">
        <v>31249550</v>
      </c>
      <c r="J470" s="18" t="s">
        <v>26</v>
      </c>
      <c r="K470" s="19"/>
      <c r="L470" s="19"/>
      <c r="M470" s="18" t="s">
        <v>559</v>
      </c>
    </row>
    <row r="471" spans="2:13" ht="39.75" customHeight="1">
      <c r="B471" s="3"/>
      <c r="C471" s="3"/>
      <c r="D471" s="2"/>
      <c r="E471" s="2"/>
      <c r="F471" s="2" t="s">
        <v>25</v>
      </c>
      <c r="G471" s="39" t="s">
        <v>382</v>
      </c>
      <c r="H471" s="52">
        <v>87500000</v>
      </c>
      <c r="I471" s="76">
        <v>71000000</v>
      </c>
      <c r="J471" s="18" t="s">
        <v>37</v>
      </c>
      <c r="K471" s="19"/>
      <c r="L471" s="19"/>
      <c r="M471" s="18" t="s">
        <v>558</v>
      </c>
    </row>
  </sheetData>
  <sheetProtection/>
  <autoFilter ref="A7:O472"/>
  <mergeCells count="28">
    <mergeCell ref="G100:G101"/>
    <mergeCell ref="G102:G103"/>
    <mergeCell ref="B2:M2"/>
    <mergeCell ref="B3:C3"/>
    <mergeCell ref="C4:D4"/>
    <mergeCell ref="B8:B9"/>
    <mergeCell ref="C8:C9"/>
    <mergeCell ref="D8:D9"/>
    <mergeCell ref="E8:E9"/>
    <mergeCell ref="I8:I9"/>
    <mergeCell ref="K100:K103"/>
    <mergeCell ref="L100:L103"/>
    <mergeCell ref="M100:M103"/>
    <mergeCell ref="F8:F9"/>
    <mergeCell ref="G8:G9"/>
    <mergeCell ref="H8:H9"/>
    <mergeCell ref="J8:J9"/>
    <mergeCell ref="K8:L8"/>
    <mergeCell ref="M8:M9"/>
    <mergeCell ref="N100:N103"/>
    <mergeCell ref="B100:B103"/>
    <mergeCell ref="C100:C103"/>
    <mergeCell ref="D100:D103"/>
    <mergeCell ref="E100:E103"/>
    <mergeCell ref="F100:F103"/>
    <mergeCell ref="H100:H103"/>
    <mergeCell ref="I100:I103"/>
    <mergeCell ref="J100:J103"/>
  </mergeCells>
  <printOptions horizontalCentered="1"/>
  <pageMargins left="0.3937007874015748" right="0.1968503937007874" top="0.7874015748031497" bottom="0.3937007874015748" header="0.5118110236220472" footer="0.5118110236220472"/>
  <pageSetup fitToHeight="0" fitToWidth="1" horizontalDpi="600" verticalDpi="600" orientation="landscape" paperSize="9" scale="54" r:id="rId1"/>
  <headerFooter alignWithMargins="0">
    <oddHeader>&amp;L別紙様式&amp;R&amp;P／&amp;N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L24"/>
  <sheetViews>
    <sheetView view="pageBreakPreview" zoomScale="75" zoomScaleNormal="75" zoomScaleSheetLayoutView="75" zoomScalePageLayoutView="0" workbookViewId="0" topLeftCell="A1">
      <selection activeCell="B5" sqref="B5"/>
    </sheetView>
  </sheetViews>
  <sheetFormatPr defaultColWidth="9.00390625" defaultRowHeight="13.5"/>
  <cols>
    <col min="1" max="4" width="20.625" style="24" customWidth="1"/>
    <col min="5" max="5" width="40.625" style="24" customWidth="1"/>
    <col min="6" max="6" width="20.375" style="25" customWidth="1"/>
    <col min="7" max="8" width="20.75390625" style="24" customWidth="1"/>
    <col min="9" max="12" width="20.625" style="24" customWidth="1"/>
    <col min="13" max="16384" width="9.00390625" style="24" customWidth="1"/>
  </cols>
  <sheetData>
    <row r="2" spans="1:12" ht="24">
      <c r="A2" s="110" t="s">
        <v>580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3" ht="15" customHeight="1">
      <c r="A3" s="111" t="s">
        <v>18</v>
      </c>
      <c r="B3" s="111"/>
      <c r="C3" s="26"/>
    </row>
    <row r="4" spans="1:3" ht="15" customHeight="1">
      <c r="A4" s="26" t="s">
        <v>0</v>
      </c>
      <c r="B4" s="62" t="s">
        <v>20</v>
      </c>
      <c r="C4" s="62"/>
    </row>
    <row r="5" spans="1:5" ht="15" customHeight="1">
      <c r="A5" s="27" t="s">
        <v>2</v>
      </c>
      <c r="B5" s="63" t="s">
        <v>19</v>
      </c>
      <c r="C5" s="64"/>
      <c r="E5" s="29"/>
    </row>
    <row r="6" spans="1:2" ht="5.25" customHeight="1">
      <c r="A6" s="30"/>
      <c r="B6" s="30"/>
    </row>
    <row r="7" spans="1:12" ht="9.75" customHeight="1">
      <c r="A7" s="31"/>
      <c r="B7" s="31"/>
      <c r="F7" s="32"/>
      <c r="G7" s="26"/>
      <c r="H7" s="26"/>
      <c r="I7" s="26"/>
      <c r="J7" s="26"/>
      <c r="K7" s="26"/>
      <c r="L7" s="33" t="s">
        <v>3</v>
      </c>
    </row>
    <row r="8" spans="1:12" ht="30" customHeight="1">
      <c r="A8" s="98" t="s">
        <v>4</v>
      </c>
      <c r="B8" s="112" t="s">
        <v>5</v>
      </c>
      <c r="C8" s="112" t="s">
        <v>6</v>
      </c>
      <c r="D8" s="112" t="s">
        <v>7</v>
      </c>
      <c r="E8" s="98" t="s">
        <v>8</v>
      </c>
      <c r="F8" s="100" t="s">
        <v>9</v>
      </c>
      <c r="G8" s="108" t="s">
        <v>10</v>
      </c>
      <c r="H8" s="108" t="s">
        <v>540</v>
      </c>
      <c r="I8" s="100" t="s">
        <v>11</v>
      </c>
      <c r="J8" s="106" t="s">
        <v>12</v>
      </c>
      <c r="K8" s="107"/>
      <c r="L8" s="108" t="s">
        <v>13</v>
      </c>
    </row>
    <row r="9" spans="1:12" ht="30" customHeight="1">
      <c r="A9" s="99"/>
      <c r="B9" s="113"/>
      <c r="C9" s="113"/>
      <c r="D9" s="113"/>
      <c r="E9" s="99"/>
      <c r="F9" s="101"/>
      <c r="G9" s="109"/>
      <c r="H9" s="109"/>
      <c r="I9" s="109"/>
      <c r="J9" s="34" t="s">
        <v>17</v>
      </c>
      <c r="K9" s="34" t="s">
        <v>14</v>
      </c>
      <c r="L9" s="109"/>
    </row>
    <row r="10" spans="1:12" ht="38.25" customHeight="1">
      <c r="A10" s="2" t="s">
        <v>216</v>
      </c>
      <c r="B10" s="3"/>
      <c r="C10" s="3"/>
      <c r="D10" s="3"/>
      <c r="E10" s="3"/>
      <c r="F10" s="35"/>
      <c r="G10" s="47">
        <f>G11</f>
        <v>451477000</v>
      </c>
      <c r="H10" s="47">
        <f>H11</f>
        <v>451477000</v>
      </c>
      <c r="I10" s="19"/>
      <c r="J10" s="19"/>
      <c r="K10" s="19"/>
      <c r="L10" s="19"/>
    </row>
    <row r="11" spans="1:12" ht="38.25" customHeight="1">
      <c r="A11" s="3"/>
      <c r="B11" s="2" t="s">
        <v>217</v>
      </c>
      <c r="C11" s="2"/>
      <c r="D11" s="3"/>
      <c r="E11" s="3"/>
      <c r="F11" s="35"/>
      <c r="G11" s="47">
        <f>G12+G16+G19+G23</f>
        <v>451477000</v>
      </c>
      <c r="H11" s="47">
        <f>H12+H16+H19+H23</f>
        <v>451477000</v>
      </c>
      <c r="I11" s="19"/>
      <c r="J11" s="19"/>
      <c r="K11" s="19"/>
      <c r="L11" s="19"/>
    </row>
    <row r="12" spans="1:12" ht="38.25" customHeight="1">
      <c r="A12" s="3"/>
      <c r="B12" s="2"/>
      <c r="C12" s="2" t="s">
        <v>218</v>
      </c>
      <c r="D12" s="3"/>
      <c r="E12" s="3"/>
      <c r="F12" s="35"/>
      <c r="G12" s="47">
        <f>G13+G14+G15</f>
        <v>92143000</v>
      </c>
      <c r="H12" s="47">
        <f>H13+H14+H15</f>
        <v>92143000</v>
      </c>
      <c r="I12" s="19"/>
      <c r="J12" s="19"/>
      <c r="K12" s="19"/>
      <c r="L12" s="19"/>
    </row>
    <row r="13" spans="1:12" ht="60" customHeight="1">
      <c r="A13" s="3"/>
      <c r="B13" s="3"/>
      <c r="C13" s="3"/>
      <c r="D13" s="3"/>
      <c r="E13" s="2" t="s">
        <v>219</v>
      </c>
      <c r="F13" s="17" t="s">
        <v>437</v>
      </c>
      <c r="G13" s="56">
        <v>9133000</v>
      </c>
      <c r="H13" s="56">
        <v>9133000</v>
      </c>
      <c r="I13" s="4" t="s">
        <v>220</v>
      </c>
      <c r="J13" s="19"/>
      <c r="K13" s="19"/>
      <c r="L13" s="19"/>
    </row>
    <row r="14" spans="1:12" ht="60" customHeight="1">
      <c r="A14" s="3"/>
      <c r="B14" s="3"/>
      <c r="C14" s="3"/>
      <c r="D14" s="3"/>
      <c r="E14" s="2" t="s">
        <v>219</v>
      </c>
      <c r="F14" s="17" t="s">
        <v>438</v>
      </c>
      <c r="G14" s="47">
        <v>42541000</v>
      </c>
      <c r="H14" s="47">
        <v>42541000</v>
      </c>
      <c r="I14" s="4" t="s">
        <v>37</v>
      </c>
      <c r="J14" s="19"/>
      <c r="K14" s="19"/>
      <c r="L14" s="19"/>
    </row>
    <row r="15" spans="1:12" ht="60" customHeight="1">
      <c r="A15" s="3"/>
      <c r="B15" s="3"/>
      <c r="C15" s="3"/>
      <c r="D15" s="3"/>
      <c r="E15" s="2" t="s">
        <v>219</v>
      </c>
      <c r="F15" s="17" t="s">
        <v>439</v>
      </c>
      <c r="G15" s="47">
        <v>40469000</v>
      </c>
      <c r="H15" s="47">
        <v>40469000</v>
      </c>
      <c r="I15" s="4" t="s">
        <v>49</v>
      </c>
      <c r="J15" s="19"/>
      <c r="K15" s="19"/>
      <c r="L15" s="19"/>
    </row>
    <row r="16" spans="1:12" ht="38.25" customHeight="1">
      <c r="A16" s="3"/>
      <c r="B16" s="3"/>
      <c r="C16" s="2" t="s">
        <v>221</v>
      </c>
      <c r="D16" s="2"/>
      <c r="E16" s="2"/>
      <c r="F16" s="35"/>
      <c r="G16" s="47">
        <f>G17+G18</f>
        <v>4559000</v>
      </c>
      <c r="H16" s="47">
        <f>H17+H18</f>
        <v>4559000</v>
      </c>
      <c r="I16" s="19"/>
      <c r="J16" s="19"/>
      <c r="K16" s="19"/>
      <c r="L16" s="19"/>
    </row>
    <row r="17" spans="1:12" ht="38.25" customHeight="1">
      <c r="A17" s="3"/>
      <c r="B17" s="3"/>
      <c r="C17" s="2"/>
      <c r="D17" s="2"/>
      <c r="E17" s="2" t="s">
        <v>222</v>
      </c>
      <c r="F17" s="17" t="s">
        <v>440</v>
      </c>
      <c r="G17" s="56">
        <v>379000</v>
      </c>
      <c r="H17" s="56">
        <v>379000</v>
      </c>
      <c r="I17" s="4" t="s">
        <v>220</v>
      </c>
      <c r="J17" s="19"/>
      <c r="K17" s="19"/>
      <c r="L17" s="19"/>
    </row>
    <row r="18" spans="1:12" ht="38.25" customHeight="1">
      <c r="A18" s="3"/>
      <c r="B18" s="3"/>
      <c r="C18" s="2"/>
      <c r="D18" s="2"/>
      <c r="E18" s="2" t="s">
        <v>222</v>
      </c>
      <c r="F18" s="12">
        <v>41445</v>
      </c>
      <c r="G18" s="56">
        <v>4180000</v>
      </c>
      <c r="H18" s="56">
        <v>4180000</v>
      </c>
      <c r="I18" s="4" t="s">
        <v>37</v>
      </c>
      <c r="J18" s="19"/>
      <c r="K18" s="19"/>
      <c r="L18" s="19"/>
    </row>
    <row r="19" spans="1:12" ht="38.25" customHeight="1">
      <c r="A19" s="3"/>
      <c r="B19" s="3"/>
      <c r="C19" s="5" t="s">
        <v>223</v>
      </c>
      <c r="D19" s="6"/>
      <c r="E19" s="7"/>
      <c r="F19" s="35"/>
      <c r="G19" s="47">
        <f>G20+G21+G22</f>
        <v>81307000</v>
      </c>
      <c r="H19" s="47">
        <f>H20+H21+H22</f>
        <v>81307000</v>
      </c>
      <c r="I19" s="19"/>
      <c r="J19" s="19"/>
      <c r="K19" s="19"/>
      <c r="L19" s="19"/>
    </row>
    <row r="20" spans="1:12" ht="38.25" customHeight="1">
      <c r="A20" s="3"/>
      <c r="B20" s="3"/>
      <c r="C20" s="6"/>
      <c r="D20" s="6"/>
      <c r="E20" s="8" t="s">
        <v>224</v>
      </c>
      <c r="F20" s="13" t="s">
        <v>441</v>
      </c>
      <c r="G20" s="47">
        <v>15803000</v>
      </c>
      <c r="H20" s="47">
        <v>15803000</v>
      </c>
      <c r="I20" s="4" t="s">
        <v>220</v>
      </c>
      <c r="J20" s="19"/>
      <c r="K20" s="19"/>
      <c r="L20" s="19"/>
    </row>
    <row r="21" spans="1:12" ht="38.25" customHeight="1">
      <c r="A21" s="3"/>
      <c r="B21" s="3"/>
      <c r="C21" s="2"/>
      <c r="D21" s="2"/>
      <c r="E21" s="8" t="s">
        <v>224</v>
      </c>
      <c r="F21" s="12">
        <v>41457</v>
      </c>
      <c r="G21" s="47">
        <v>39504000</v>
      </c>
      <c r="H21" s="47">
        <v>39504000</v>
      </c>
      <c r="I21" s="4" t="s">
        <v>49</v>
      </c>
      <c r="J21" s="19"/>
      <c r="K21" s="19"/>
      <c r="L21" s="19"/>
    </row>
    <row r="22" spans="1:12" ht="38.25" customHeight="1">
      <c r="A22" s="3"/>
      <c r="B22" s="3"/>
      <c r="C22" s="2"/>
      <c r="D22" s="2"/>
      <c r="E22" s="8" t="s">
        <v>224</v>
      </c>
      <c r="F22" s="13" t="s">
        <v>441</v>
      </c>
      <c r="G22" s="47">
        <v>26000000</v>
      </c>
      <c r="H22" s="47">
        <v>26000000</v>
      </c>
      <c r="I22" s="4" t="s">
        <v>37</v>
      </c>
      <c r="J22" s="19"/>
      <c r="K22" s="19"/>
      <c r="L22" s="19"/>
    </row>
    <row r="23" spans="1:12" ht="38.25" customHeight="1">
      <c r="A23" s="3"/>
      <c r="B23" s="3"/>
      <c r="C23" s="5" t="s">
        <v>225</v>
      </c>
      <c r="D23" s="6"/>
      <c r="E23" s="7"/>
      <c r="F23" s="9"/>
      <c r="G23" s="10">
        <f>SUBTOTAL(9,G24:G24)</f>
        <v>273468000</v>
      </c>
      <c r="H23" s="10">
        <f>SUBTOTAL(9,H24:H24)</f>
        <v>273468000</v>
      </c>
      <c r="I23" s="4"/>
      <c r="J23" s="19"/>
      <c r="K23" s="19"/>
      <c r="L23" s="19"/>
    </row>
    <row r="24" spans="1:12" ht="309.75" customHeight="1">
      <c r="A24" s="3"/>
      <c r="B24" s="3"/>
      <c r="C24" s="6"/>
      <c r="D24" s="6"/>
      <c r="E24" s="8" t="s">
        <v>442</v>
      </c>
      <c r="F24" s="123" t="s">
        <v>601</v>
      </c>
      <c r="G24" s="10">
        <v>273468000</v>
      </c>
      <c r="H24" s="10">
        <v>273468000</v>
      </c>
      <c r="I24" s="11" t="s">
        <v>539</v>
      </c>
      <c r="J24" s="19"/>
      <c r="K24" s="19"/>
      <c r="L24" s="19"/>
    </row>
  </sheetData>
  <sheetProtection/>
  <mergeCells count="13">
    <mergeCell ref="A2:L2"/>
    <mergeCell ref="A3:B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L9"/>
  </mergeCells>
  <printOptions horizontalCentered="1"/>
  <pageMargins left="0.3937007874015748" right="0.1968503937007874" top="0.7874015748031497" bottom="0.1968503937007874" header="0.5118110236220472" footer="0.1968503937007874"/>
  <pageSetup fitToHeight="0" horizontalDpi="300" verticalDpi="300" orientation="landscape" paperSize="9" scale="54" r:id="rId1"/>
  <headerFooter alignWithMargins="0">
    <oddHeader>&amp;L別紙様式&amp;R&amp;P／&amp;N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view="pageBreakPreview" zoomScale="75" zoomScaleNormal="50" zoomScaleSheetLayoutView="75" zoomScalePageLayoutView="0" workbookViewId="0" topLeftCell="A1">
      <selection activeCell="B5" sqref="B5"/>
    </sheetView>
  </sheetViews>
  <sheetFormatPr defaultColWidth="9.00390625" defaultRowHeight="13.5"/>
  <cols>
    <col min="1" max="4" width="20.625" style="24" customWidth="1"/>
    <col min="5" max="5" width="40.625" style="24" customWidth="1"/>
    <col min="6" max="6" width="20.375" style="25" customWidth="1"/>
    <col min="7" max="8" width="20.75390625" style="24" customWidth="1"/>
    <col min="9" max="12" width="20.625" style="24" customWidth="1"/>
    <col min="13" max="16384" width="9.00390625" style="24" customWidth="1"/>
  </cols>
  <sheetData>
    <row r="2" spans="1:12" ht="24">
      <c r="A2" s="110" t="s">
        <v>580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3" ht="21" customHeight="1">
      <c r="A3" s="111" t="s">
        <v>18</v>
      </c>
      <c r="B3" s="111"/>
      <c r="C3" s="26"/>
    </row>
    <row r="4" spans="1:3" ht="21" customHeight="1">
      <c r="A4" s="26" t="s">
        <v>0</v>
      </c>
      <c r="B4" s="62" t="s">
        <v>21</v>
      </c>
      <c r="C4" s="62"/>
    </row>
    <row r="5" spans="1:5" ht="21" customHeight="1">
      <c r="A5" s="27" t="s">
        <v>2</v>
      </c>
      <c r="B5" s="63" t="s">
        <v>19</v>
      </c>
      <c r="C5" s="64"/>
      <c r="E5" s="29"/>
    </row>
    <row r="6" spans="1:2" ht="5.25" customHeight="1">
      <c r="A6" s="30"/>
      <c r="B6" s="30"/>
    </row>
    <row r="7" spans="1:12" ht="24.75" customHeight="1">
      <c r="A7" s="31"/>
      <c r="B7" s="31"/>
      <c r="F7" s="32"/>
      <c r="G7" s="26"/>
      <c r="H7" s="26"/>
      <c r="I7" s="26"/>
      <c r="J7" s="26"/>
      <c r="K7" s="26"/>
      <c r="L7" s="33" t="s">
        <v>3</v>
      </c>
    </row>
    <row r="8" spans="1:12" ht="30" customHeight="1">
      <c r="A8" s="98" t="s">
        <v>4</v>
      </c>
      <c r="B8" s="112" t="s">
        <v>5</v>
      </c>
      <c r="C8" s="112" t="s">
        <v>6</v>
      </c>
      <c r="D8" s="112" t="s">
        <v>7</v>
      </c>
      <c r="E8" s="98" t="s">
        <v>8</v>
      </c>
      <c r="F8" s="100" t="s">
        <v>9</v>
      </c>
      <c r="G8" s="108" t="s">
        <v>10</v>
      </c>
      <c r="H8" s="108" t="s">
        <v>540</v>
      </c>
      <c r="I8" s="100" t="s">
        <v>11</v>
      </c>
      <c r="J8" s="106" t="s">
        <v>12</v>
      </c>
      <c r="K8" s="107"/>
      <c r="L8" s="108" t="s">
        <v>13</v>
      </c>
    </row>
    <row r="9" spans="1:12" ht="30" customHeight="1">
      <c r="A9" s="99"/>
      <c r="B9" s="113"/>
      <c r="C9" s="113"/>
      <c r="D9" s="113"/>
      <c r="E9" s="99"/>
      <c r="F9" s="101"/>
      <c r="G9" s="109"/>
      <c r="H9" s="109"/>
      <c r="I9" s="109"/>
      <c r="J9" s="34" t="s">
        <v>17</v>
      </c>
      <c r="K9" s="34" t="s">
        <v>14</v>
      </c>
      <c r="L9" s="109"/>
    </row>
    <row r="10" spans="1:12" ht="38.25" customHeight="1">
      <c r="A10" s="1" t="s">
        <v>209</v>
      </c>
      <c r="B10" s="2"/>
      <c r="C10" s="2"/>
      <c r="D10" s="2"/>
      <c r="E10" s="3"/>
      <c r="F10" s="35"/>
      <c r="G10" s="47">
        <f>+G11</f>
        <v>7003683480</v>
      </c>
      <c r="H10" s="47">
        <f>+H11</f>
        <v>7003683480</v>
      </c>
      <c r="I10" s="19"/>
      <c r="J10" s="19"/>
      <c r="K10" s="19"/>
      <c r="L10" s="19"/>
    </row>
    <row r="11" spans="1:12" ht="38.25" customHeight="1">
      <c r="A11" s="2"/>
      <c r="B11" s="2" t="s">
        <v>210</v>
      </c>
      <c r="C11" s="2"/>
      <c r="D11" s="2"/>
      <c r="E11" s="3"/>
      <c r="F11" s="35"/>
      <c r="G11" s="47">
        <f>+G12+G14</f>
        <v>7003683480</v>
      </c>
      <c r="H11" s="47">
        <f>+H12+H14</f>
        <v>7003683480</v>
      </c>
      <c r="I11" s="19"/>
      <c r="J11" s="19"/>
      <c r="K11" s="19"/>
      <c r="L11" s="19"/>
    </row>
    <row r="12" spans="1:12" ht="49.5" customHeight="1">
      <c r="A12" s="2"/>
      <c r="B12" s="2"/>
      <c r="C12" s="2" t="s">
        <v>211</v>
      </c>
      <c r="D12" s="2"/>
      <c r="E12" s="3"/>
      <c r="F12" s="35"/>
      <c r="G12" s="47">
        <f>SUM(G13)</f>
        <v>109999</v>
      </c>
      <c r="H12" s="47">
        <f>SUM(H13)</f>
        <v>109999</v>
      </c>
      <c r="I12" s="19"/>
      <c r="J12" s="19"/>
      <c r="K12" s="19"/>
      <c r="L12" s="19"/>
    </row>
    <row r="13" spans="1:12" ht="38.25" customHeight="1">
      <c r="A13" s="2"/>
      <c r="B13" s="2"/>
      <c r="C13" s="2"/>
      <c r="D13" s="2"/>
      <c r="E13" s="3" t="s">
        <v>212</v>
      </c>
      <c r="F13" s="40" t="s">
        <v>582</v>
      </c>
      <c r="G13" s="47">
        <v>109999</v>
      </c>
      <c r="H13" s="47">
        <v>109999</v>
      </c>
      <c r="I13" s="19" t="s">
        <v>213</v>
      </c>
      <c r="J13" s="19"/>
      <c r="K13" s="19"/>
      <c r="L13" s="19"/>
    </row>
    <row r="14" spans="1:12" ht="49.5" customHeight="1">
      <c r="A14" s="2"/>
      <c r="B14" s="2"/>
      <c r="C14" s="2" t="s">
        <v>214</v>
      </c>
      <c r="D14" s="2"/>
      <c r="E14" s="3"/>
      <c r="F14" s="35"/>
      <c r="G14" s="56">
        <f>SUM(G15:G15)</f>
        <v>7003573481</v>
      </c>
      <c r="H14" s="56">
        <f>SUM(H15:H15)</f>
        <v>7003573481</v>
      </c>
      <c r="I14" s="19"/>
      <c r="J14" s="19"/>
      <c r="K14" s="19"/>
      <c r="L14" s="19"/>
    </row>
    <row r="15" spans="1:12" ht="349.5" customHeight="1">
      <c r="A15" s="90"/>
      <c r="B15" s="90"/>
      <c r="C15" s="90"/>
      <c r="D15" s="90"/>
      <c r="E15" s="87" t="s">
        <v>215</v>
      </c>
      <c r="F15" s="93" t="s">
        <v>583</v>
      </c>
      <c r="G15" s="114">
        <f>4173246000+2830327481</f>
        <v>7003573481</v>
      </c>
      <c r="H15" s="114">
        <f>4173246000+2830327481</f>
        <v>7003573481</v>
      </c>
      <c r="I15" s="116" t="s">
        <v>581</v>
      </c>
      <c r="J15" s="97"/>
      <c r="K15" s="97"/>
      <c r="L15" s="97"/>
    </row>
    <row r="16" spans="1:12" ht="300" customHeight="1">
      <c r="A16" s="89"/>
      <c r="B16" s="89"/>
      <c r="C16" s="89"/>
      <c r="D16" s="89"/>
      <c r="E16" s="89"/>
      <c r="F16" s="119"/>
      <c r="G16" s="115"/>
      <c r="H16" s="115"/>
      <c r="I16" s="115"/>
      <c r="J16" s="96"/>
      <c r="K16" s="96"/>
      <c r="L16" s="96"/>
    </row>
    <row r="17" ht="7.5" customHeight="1"/>
    <row r="18" spans="1:12" ht="53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ht="13.5" customHeight="1"/>
    <row r="20" ht="13.5" customHeight="1"/>
    <row r="21" ht="13.5" customHeight="1"/>
  </sheetData>
  <sheetProtection/>
  <mergeCells count="26">
    <mergeCell ref="A2:L2"/>
    <mergeCell ref="A3:B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L9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8:L18"/>
  </mergeCells>
  <printOptions/>
  <pageMargins left="0.3937007874015748" right="0.1968503937007874" top="0.7874015748031497" bottom="0.1968503937007874" header="0.5118110236220472" footer="0.1968503937007874"/>
  <pageSetup fitToHeight="0" fitToWidth="1" horizontalDpi="600" verticalDpi="600" orientation="landscape" paperSize="9" scale="54" r:id="rId1"/>
  <headerFooter>
    <oddHeader>&amp;L別紙様式&amp;R&amp;P／&amp;N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75" zoomScaleNormal="75" zoomScaleSheetLayoutView="75" zoomScalePageLayoutView="0" workbookViewId="0" topLeftCell="A1">
      <selection activeCell="B5" sqref="B5"/>
    </sheetView>
  </sheetViews>
  <sheetFormatPr defaultColWidth="9.00390625" defaultRowHeight="13.5"/>
  <cols>
    <col min="1" max="4" width="20.625" style="23" customWidth="1"/>
    <col min="5" max="5" width="40.625" style="23" customWidth="1"/>
    <col min="6" max="6" width="20.375" style="23" customWidth="1"/>
    <col min="7" max="8" width="20.75390625" style="23" customWidth="1"/>
    <col min="9" max="12" width="20.625" style="23" customWidth="1"/>
    <col min="13" max="16384" width="9.00390625" style="23" customWidth="1"/>
  </cols>
  <sheetData>
    <row r="1" s="24" customFormat="1" ht="13.5">
      <c r="F1" s="25"/>
    </row>
    <row r="2" spans="1:12" s="24" customFormat="1" ht="24">
      <c r="A2" s="110" t="s">
        <v>580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24" customFormat="1" ht="21" customHeight="1">
      <c r="A3" s="124" t="s">
        <v>18</v>
      </c>
      <c r="B3" s="124"/>
      <c r="C3" s="22"/>
      <c r="D3" s="23"/>
      <c r="E3" s="23"/>
      <c r="F3" s="23"/>
      <c r="G3" s="23"/>
      <c r="H3" s="23"/>
      <c r="I3" s="23"/>
      <c r="J3" s="23"/>
      <c r="K3" s="23"/>
      <c r="L3" s="23"/>
    </row>
    <row r="4" spans="1:12" s="24" customFormat="1" ht="21" customHeight="1">
      <c r="A4" s="22" t="s">
        <v>0</v>
      </c>
      <c r="B4" s="124" t="s">
        <v>22</v>
      </c>
      <c r="C4" s="124"/>
      <c r="D4" s="23"/>
      <c r="E4" s="23"/>
      <c r="F4" s="23"/>
      <c r="G4" s="23"/>
      <c r="H4" s="23"/>
      <c r="I4" s="23"/>
      <c r="J4" s="23"/>
      <c r="K4" s="23"/>
      <c r="L4" s="23"/>
    </row>
    <row r="5" spans="1:12" s="24" customFormat="1" ht="21" customHeight="1">
      <c r="A5" s="63" t="s">
        <v>2</v>
      </c>
      <c r="B5" s="63" t="s">
        <v>19</v>
      </c>
      <c r="C5" s="28"/>
      <c r="D5" s="23"/>
      <c r="E5" s="125"/>
      <c r="F5" s="23"/>
      <c r="G5" s="23"/>
      <c r="H5" s="23"/>
      <c r="I5" s="23"/>
      <c r="J5" s="23"/>
      <c r="K5" s="23"/>
      <c r="L5" s="23"/>
    </row>
    <row r="6" spans="1:12" s="24" customFormat="1" ht="5.25" customHeight="1">
      <c r="A6" s="126"/>
      <c r="B6" s="126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24" customFormat="1" ht="24.75" customHeight="1">
      <c r="A7" s="127"/>
      <c r="B7" s="127"/>
      <c r="C7" s="23"/>
      <c r="D7" s="23"/>
      <c r="E7" s="23"/>
      <c r="F7" s="22"/>
      <c r="G7" s="22"/>
      <c r="H7" s="22"/>
      <c r="I7" s="22"/>
      <c r="J7" s="22"/>
      <c r="K7" s="22"/>
      <c r="L7" s="128" t="s">
        <v>3</v>
      </c>
    </row>
    <row r="8" spans="1:12" s="24" customFormat="1" ht="30" customHeight="1">
      <c r="A8" s="112" t="s">
        <v>4</v>
      </c>
      <c r="B8" s="112" t="s">
        <v>5</v>
      </c>
      <c r="C8" s="112" t="s">
        <v>6</v>
      </c>
      <c r="D8" s="112" t="s">
        <v>7</v>
      </c>
      <c r="E8" s="112" t="s">
        <v>8</v>
      </c>
      <c r="F8" s="100" t="s">
        <v>9</v>
      </c>
      <c r="G8" s="100" t="s">
        <v>10</v>
      </c>
      <c r="H8" s="100" t="s">
        <v>540</v>
      </c>
      <c r="I8" s="100" t="s">
        <v>11</v>
      </c>
      <c r="J8" s="129" t="s">
        <v>12</v>
      </c>
      <c r="K8" s="130"/>
      <c r="L8" s="100" t="s">
        <v>13</v>
      </c>
    </row>
    <row r="9" spans="1:12" s="24" customFormat="1" ht="30" customHeight="1">
      <c r="A9" s="113"/>
      <c r="B9" s="113"/>
      <c r="C9" s="113"/>
      <c r="D9" s="113"/>
      <c r="E9" s="113"/>
      <c r="F9" s="101"/>
      <c r="G9" s="101"/>
      <c r="H9" s="101"/>
      <c r="I9" s="101"/>
      <c r="J9" s="131" t="s">
        <v>17</v>
      </c>
      <c r="K9" s="131" t="s">
        <v>14</v>
      </c>
      <c r="L9" s="101"/>
    </row>
    <row r="10" spans="1:12" s="24" customFormat="1" ht="38.25" customHeight="1">
      <c r="A10" s="2" t="s">
        <v>15</v>
      </c>
      <c r="B10" s="2"/>
      <c r="C10" s="2"/>
      <c r="D10" s="2"/>
      <c r="E10" s="2"/>
      <c r="F10" s="2"/>
      <c r="G10" s="61">
        <f>G22+G11+G15</f>
        <v>209319034</v>
      </c>
      <c r="H10" s="61">
        <f>H22+H11+H15</f>
        <v>208853518</v>
      </c>
      <c r="I10" s="18"/>
      <c r="J10" s="18"/>
      <c r="K10" s="18"/>
      <c r="L10" s="18"/>
    </row>
    <row r="11" spans="1:12" s="24" customFormat="1" ht="38.25" customHeight="1">
      <c r="A11" s="2"/>
      <c r="B11" s="18" t="s">
        <v>28</v>
      </c>
      <c r="C11" s="18"/>
      <c r="D11" s="18"/>
      <c r="E11" s="18"/>
      <c r="F11" s="2"/>
      <c r="G11" s="61">
        <f>G12</f>
        <v>108559500</v>
      </c>
      <c r="H11" s="61">
        <f>H12</f>
        <v>108093984</v>
      </c>
      <c r="I11" s="18"/>
      <c r="J11" s="18"/>
      <c r="K11" s="18"/>
      <c r="L11" s="18"/>
    </row>
    <row r="12" spans="1:12" s="24" customFormat="1" ht="38.25" customHeight="1">
      <c r="A12" s="2"/>
      <c r="B12" s="18"/>
      <c r="C12" s="18" t="s">
        <v>29</v>
      </c>
      <c r="D12" s="18"/>
      <c r="E12" s="18"/>
      <c r="F12" s="2"/>
      <c r="G12" s="61">
        <f>G13+G14</f>
        <v>108559500</v>
      </c>
      <c r="H12" s="61">
        <f>H13+H14</f>
        <v>108093984</v>
      </c>
      <c r="I12" s="18"/>
      <c r="J12" s="18"/>
      <c r="K12" s="18"/>
      <c r="L12" s="18"/>
    </row>
    <row r="13" spans="1:12" s="24" customFormat="1" ht="38.25" customHeight="1">
      <c r="A13" s="2"/>
      <c r="B13" s="2"/>
      <c r="C13" s="2"/>
      <c r="D13" s="2"/>
      <c r="E13" s="3" t="s">
        <v>30</v>
      </c>
      <c r="F13" s="40" t="s">
        <v>311</v>
      </c>
      <c r="G13" s="61">
        <v>8559500</v>
      </c>
      <c r="H13" s="76">
        <v>8102514</v>
      </c>
      <c r="I13" s="18" t="s">
        <v>31</v>
      </c>
      <c r="J13" s="18"/>
      <c r="K13" s="18"/>
      <c r="L13" s="18" t="s">
        <v>27</v>
      </c>
    </row>
    <row r="14" spans="1:12" s="24" customFormat="1" ht="38.25" customHeight="1">
      <c r="A14" s="2"/>
      <c r="B14" s="2"/>
      <c r="C14" s="2"/>
      <c r="D14" s="2"/>
      <c r="E14" s="3" t="s">
        <v>30</v>
      </c>
      <c r="F14" s="132">
        <v>41355</v>
      </c>
      <c r="G14" s="61">
        <v>100000000</v>
      </c>
      <c r="H14" s="77">
        <v>99991470</v>
      </c>
      <c r="I14" s="18" t="s">
        <v>32</v>
      </c>
      <c r="J14" s="18"/>
      <c r="K14" s="18"/>
      <c r="L14" s="18" t="s">
        <v>27</v>
      </c>
    </row>
    <row r="15" spans="1:12" s="24" customFormat="1" ht="38.25" customHeight="1">
      <c r="A15" s="2"/>
      <c r="B15" s="2" t="s">
        <v>33</v>
      </c>
      <c r="C15" s="2"/>
      <c r="D15" s="2"/>
      <c r="E15" s="2"/>
      <c r="F15" s="2"/>
      <c r="G15" s="61">
        <f>G16+G19</f>
        <v>12500000</v>
      </c>
      <c r="H15" s="61">
        <f>H16+H19</f>
        <v>12500000</v>
      </c>
      <c r="I15" s="18"/>
      <c r="J15" s="18"/>
      <c r="K15" s="18"/>
      <c r="L15" s="18"/>
    </row>
    <row r="16" spans="1:12" s="24" customFormat="1" ht="38.25" customHeight="1">
      <c r="A16" s="2"/>
      <c r="B16" s="2"/>
      <c r="C16" s="2" t="s">
        <v>34</v>
      </c>
      <c r="D16" s="2"/>
      <c r="E16" s="2"/>
      <c r="F16" s="2"/>
      <c r="G16" s="61">
        <f>G17</f>
        <v>12500000</v>
      </c>
      <c r="H16" s="61">
        <f>H17</f>
        <v>12500000</v>
      </c>
      <c r="I16" s="18"/>
      <c r="J16" s="18"/>
      <c r="K16" s="18"/>
      <c r="L16" s="18"/>
    </row>
    <row r="17" spans="1:12" s="24" customFormat="1" ht="38.25" customHeight="1">
      <c r="A17" s="2"/>
      <c r="B17" s="2"/>
      <c r="C17" s="2"/>
      <c r="D17" s="2" t="s">
        <v>35</v>
      </c>
      <c r="E17" s="2"/>
      <c r="F17" s="2"/>
      <c r="G17" s="61">
        <f>G18</f>
        <v>12500000</v>
      </c>
      <c r="H17" s="61">
        <f>H18</f>
        <v>12500000</v>
      </c>
      <c r="I17" s="18"/>
      <c r="J17" s="18"/>
      <c r="K17" s="18"/>
      <c r="L17" s="18"/>
    </row>
    <row r="18" spans="1:12" ht="38.25" customHeight="1">
      <c r="A18" s="2"/>
      <c r="B18" s="2"/>
      <c r="C18" s="2"/>
      <c r="D18" s="2"/>
      <c r="E18" s="2" t="s">
        <v>36</v>
      </c>
      <c r="F18" s="132">
        <v>41036</v>
      </c>
      <c r="G18" s="61">
        <v>12500000</v>
      </c>
      <c r="H18" s="61">
        <v>12500000</v>
      </c>
      <c r="I18" s="18" t="s">
        <v>37</v>
      </c>
      <c r="J18" s="18"/>
      <c r="K18" s="18"/>
      <c r="L18" s="18" t="s">
        <v>27</v>
      </c>
    </row>
    <row r="19" spans="1:12" ht="38.25" customHeight="1">
      <c r="A19" s="2"/>
      <c r="B19" s="2"/>
      <c r="C19" s="2" t="s">
        <v>38</v>
      </c>
      <c r="D19" s="2"/>
      <c r="E19" s="2"/>
      <c r="F19" s="2"/>
      <c r="G19" s="78">
        <f>G20</f>
        <v>0</v>
      </c>
      <c r="H19" s="78">
        <f>H20</f>
        <v>0</v>
      </c>
      <c r="I19" s="18"/>
      <c r="J19" s="18"/>
      <c r="K19" s="18"/>
      <c r="L19" s="18"/>
    </row>
    <row r="20" spans="1:12" ht="38.25" customHeight="1">
      <c r="A20" s="2"/>
      <c r="B20" s="2"/>
      <c r="C20" s="2"/>
      <c r="D20" s="2" t="s">
        <v>38</v>
      </c>
      <c r="E20" s="2"/>
      <c r="F20" s="2"/>
      <c r="G20" s="61">
        <f>G21</f>
        <v>0</v>
      </c>
      <c r="H20" s="61">
        <f>H21</f>
        <v>0</v>
      </c>
      <c r="I20" s="18"/>
      <c r="J20" s="18"/>
      <c r="K20" s="18"/>
      <c r="L20" s="18"/>
    </row>
    <row r="21" spans="1:12" ht="47.25" customHeight="1">
      <c r="A21" s="2"/>
      <c r="B21" s="2"/>
      <c r="C21" s="2"/>
      <c r="D21" s="2"/>
      <c r="E21" s="2" t="s">
        <v>39</v>
      </c>
      <c r="F21" s="59" t="s">
        <v>537</v>
      </c>
      <c r="G21" s="60">
        <v>0</v>
      </c>
      <c r="H21" s="60">
        <v>0</v>
      </c>
      <c r="I21" s="18" t="s">
        <v>37</v>
      </c>
      <c r="J21" s="18"/>
      <c r="K21" s="18"/>
      <c r="L21" s="18" t="s">
        <v>27</v>
      </c>
    </row>
    <row r="22" spans="1:12" s="24" customFormat="1" ht="38.25" customHeight="1">
      <c r="A22" s="2"/>
      <c r="B22" s="2" t="s">
        <v>23</v>
      </c>
      <c r="C22" s="2"/>
      <c r="D22" s="2"/>
      <c r="E22" s="3"/>
      <c r="F22" s="2"/>
      <c r="G22" s="61">
        <f aca="true" t="shared" si="0" ref="G22:H24">G23</f>
        <v>88259534</v>
      </c>
      <c r="H22" s="61">
        <f t="shared" si="0"/>
        <v>88259534</v>
      </c>
      <c r="I22" s="18"/>
      <c r="J22" s="18"/>
      <c r="K22" s="18"/>
      <c r="L22" s="18"/>
    </row>
    <row r="23" spans="1:12" s="24" customFormat="1" ht="38.25" customHeight="1">
      <c r="A23" s="2"/>
      <c r="B23" s="2"/>
      <c r="C23" s="2" t="s">
        <v>24</v>
      </c>
      <c r="D23" s="2"/>
      <c r="E23" s="3"/>
      <c r="F23" s="2"/>
      <c r="G23" s="61">
        <f t="shared" si="0"/>
        <v>88259534</v>
      </c>
      <c r="H23" s="61">
        <f t="shared" si="0"/>
        <v>88259534</v>
      </c>
      <c r="I23" s="18"/>
      <c r="J23" s="18"/>
      <c r="K23" s="18"/>
      <c r="L23" s="18"/>
    </row>
    <row r="24" spans="1:12" s="24" customFormat="1" ht="38.25" customHeight="1">
      <c r="A24" s="2"/>
      <c r="B24" s="2"/>
      <c r="C24" s="2"/>
      <c r="D24" s="2" t="s">
        <v>25</v>
      </c>
      <c r="E24" s="3"/>
      <c r="F24" s="2"/>
      <c r="G24" s="61">
        <f t="shared" si="0"/>
        <v>88259534</v>
      </c>
      <c r="H24" s="61">
        <f t="shared" si="0"/>
        <v>88259534</v>
      </c>
      <c r="I24" s="18"/>
      <c r="J24" s="18"/>
      <c r="K24" s="18"/>
      <c r="L24" s="18"/>
    </row>
    <row r="25" spans="1:12" s="24" customFormat="1" ht="38.25" customHeight="1">
      <c r="A25" s="2"/>
      <c r="B25" s="2"/>
      <c r="C25" s="2"/>
      <c r="D25" s="2"/>
      <c r="E25" s="3" t="s">
        <v>25</v>
      </c>
      <c r="F25" s="17" t="s">
        <v>310</v>
      </c>
      <c r="G25" s="61">
        <v>88259534</v>
      </c>
      <c r="H25" s="61">
        <v>88259534</v>
      </c>
      <c r="I25" s="18" t="s">
        <v>26</v>
      </c>
      <c r="J25" s="18"/>
      <c r="K25" s="18"/>
      <c r="L25" s="18" t="s">
        <v>27</v>
      </c>
    </row>
    <row r="26" spans="1:12" ht="38.25" customHeight="1">
      <c r="A26" s="2"/>
      <c r="B26" s="2"/>
      <c r="C26" s="2"/>
      <c r="D26" s="2"/>
      <c r="E26" s="2"/>
      <c r="F26" s="2"/>
      <c r="G26" s="78"/>
      <c r="H26" s="78"/>
      <c r="I26" s="18"/>
      <c r="J26" s="18"/>
      <c r="K26" s="18"/>
      <c r="L26" s="18"/>
    </row>
  </sheetData>
  <sheetProtection/>
  <mergeCells count="14">
    <mergeCell ref="I8:I9"/>
    <mergeCell ref="J8:K8"/>
    <mergeCell ref="H8:H9"/>
    <mergeCell ref="L8:L9"/>
    <mergeCell ref="B4:C4"/>
    <mergeCell ref="F8:F9"/>
    <mergeCell ref="A2:L2"/>
    <mergeCell ref="A3:B3"/>
    <mergeCell ref="A8:A9"/>
    <mergeCell ref="B8:B9"/>
    <mergeCell ref="C8:C9"/>
    <mergeCell ref="D8:D9"/>
    <mergeCell ref="E8:E9"/>
    <mergeCell ref="G8:G9"/>
  </mergeCells>
  <printOptions/>
  <pageMargins left="0.3937007874015748" right="0.1968503937007874" top="0.7874015748031497" bottom="0.3937007874015748" header="0.5118110236220472" footer="0.5118110236220472"/>
  <pageSetup fitToHeight="0" fitToWidth="1" horizontalDpi="600" verticalDpi="600" orientation="landscape" paperSize="9" scale="54" r:id="rId1"/>
  <headerFooter>
    <oddHeader>&amp;L別紙様式
&amp;R&amp;P／&amp;N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2014-06-06T07:42:41Z</dcterms:created>
  <dcterms:modified xsi:type="dcterms:W3CDTF">2014-07-31T05:24:05Z</dcterms:modified>
  <cp:category/>
  <cp:version/>
  <cp:contentType/>
  <cp:contentStatus/>
</cp:coreProperties>
</file>