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269" documentId="8_{1AED2040-25FB-4EA0-8816-D6C23F1C0E17}" xr6:coauthVersionLast="47" xr6:coauthVersionMax="47" xr10:uidLastSave="{850AEC74-2E5C-493D-B499-600E417CB89F}"/>
  <bookViews>
    <workbookView xWindow="4425" yWindow="-15105" windowWidth="23550" windowHeight="11295" xr2:uid="{00000000-000D-0000-FFFF-FFFF00000000}"/>
  </bookViews>
  <sheets>
    <sheet name="ケース１規定償還" sheetId="10" r:id="rId1"/>
    <sheet name="ケース２一括償還" sheetId="14" r:id="rId2"/>
    <sheet name="ケース３都道府県直入方式" sheetId="6" r:id="rId3"/>
  </sheets>
  <definedNames>
    <definedName name="_xlnm.Print_Area" localSheetId="0">ケース１規定償還!$A$1:$I$42</definedName>
    <definedName name="_xlnm.Print_Area" localSheetId="1">ケース２一括償還!$A$1:$N$46</definedName>
    <definedName name="_xlnm.Print_Area" localSheetId="2">ケース３都道府県直入方式!$A$1:$N$45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6" l="1"/>
  <c r="R15" i="6"/>
  <c r="M15" i="6"/>
  <c r="J14" i="6"/>
  <c r="O14" i="6"/>
  <c r="H14" i="6"/>
  <c r="D23" i="10"/>
  <c r="F23" i="10"/>
  <c r="F25" i="10"/>
  <c r="E25" i="10"/>
  <c r="D26" i="10"/>
  <c r="H27" i="10" s="1"/>
  <c r="L43" i="14"/>
  <c r="N42" i="14"/>
  <c r="N43" i="14"/>
  <c r="N44" i="14"/>
  <c r="N27" i="14"/>
  <c r="N26" i="14"/>
  <c r="N25" i="14"/>
  <c r="N24" i="14"/>
  <c r="M25" i="14"/>
  <c r="L28" i="14"/>
  <c r="L27" i="14"/>
  <c r="L24" i="14"/>
  <c r="K25" i="14"/>
  <c r="K24" i="14"/>
  <c r="H27" i="14"/>
  <c r="J24" i="14"/>
  <c r="H24" i="14"/>
  <c r="I27" i="14"/>
  <c r="J27" i="14"/>
  <c r="J26" i="14"/>
  <c r="J25" i="14"/>
  <c r="I28" i="14"/>
  <c r="N43" i="6"/>
  <c r="M42" i="6"/>
  <c r="L44" i="6"/>
  <c r="L43" i="6"/>
  <c r="H44" i="6"/>
  <c r="H43" i="6"/>
  <c r="H42" i="6"/>
  <c r="J43" i="6"/>
  <c r="I43" i="6"/>
  <c r="K43" i="6"/>
  <c r="N45" i="14"/>
  <c r="M44" i="14"/>
  <c r="M45" i="14"/>
  <c r="H40" i="10"/>
  <c r="H39" i="10"/>
  <c r="H38" i="10"/>
  <c r="H37" i="10"/>
  <c r="H36" i="10"/>
  <c r="H35" i="10"/>
  <c r="H34" i="10"/>
  <c r="H33" i="10"/>
  <c r="H32" i="10"/>
  <c r="H31" i="10"/>
  <c r="H30" i="10"/>
  <c r="H29" i="10"/>
  <c r="H28" i="10"/>
  <c r="H26" i="10"/>
  <c r="H25" i="10"/>
  <c r="H24" i="10"/>
  <c r="E42" i="10"/>
  <c r="H41" i="10"/>
  <c r="G23" i="10"/>
  <c r="E9" i="6"/>
  <c r="E9" i="14"/>
  <c r="E24" i="14"/>
  <c r="E46" i="14" s="1"/>
  <c r="J44" i="6"/>
  <c r="I44" i="6"/>
  <c r="K44" i="6"/>
  <c r="M14" i="6"/>
  <c r="G24" i="14" l="1"/>
  <c r="I43" i="14" l="1"/>
  <c r="H43" i="14"/>
  <c r="J34" i="14"/>
  <c r="H41" i="14"/>
  <c r="I29" i="14"/>
  <c r="J43" i="14"/>
  <c r="J41" i="14"/>
  <c r="J33" i="14"/>
  <c r="H26" i="14"/>
  <c r="H40" i="14"/>
  <c r="J42" i="14"/>
  <c r="J40" i="14"/>
  <c r="J32" i="14"/>
  <c r="H25" i="14"/>
  <c r="I40" i="14"/>
  <c r="J29" i="14"/>
  <c r="J39" i="14"/>
  <c r="J31" i="14"/>
  <c r="I41" i="14"/>
  <c r="J38" i="14"/>
  <c r="J30" i="14"/>
  <c r="I42" i="14"/>
  <c r="J37" i="14"/>
  <c r="J28" i="14"/>
  <c r="I32" i="14"/>
  <c r="L25" i="14"/>
  <c r="L26" i="14" s="1"/>
  <c r="J36" i="14"/>
  <c r="I31" i="14"/>
  <c r="J35" i="14"/>
  <c r="H42" i="14"/>
  <c r="I30" i="14"/>
  <c r="I34" i="14"/>
  <c r="H33" i="14"/>
  <c r="H36" i="14"/>
  <c r="H32" i="14"/>
  <c r="I35" i="14"/>
  <c r="H34" i="14"/>
  <c r="H28" i="14"/>
  <c r="I36" i="14"/>
  <c r="H35" i="14"/>
  <c r="I37" i="14"/>
  <c r="H39" i="14"/>
  <c r="I33" i="14"/>
  <c r="I38" i="14"/>
  <c r="H37" i="14"/>
  <c r="M38" i="14" s="1"/>
  <c r="H29" i="14"/>
  <c r="H38" i="14"/>
  <c r="G46" i="14"/>
  <c r="I39" i="14"/>
  <c r="H30" i="14"/>
  <c r="H31" i="14"/>
  <c r="F24" i="14"/>
  <c r="M26" i="14" l="1"/>
  <c r="L29" i="14"/>
  <c r="L30" i="14" s="1"/>
  <c r="L31" i="14" s="1"/>
  <c r="L32" i="14" s="1"/>
  <c r="L33" i="14" s="1"/>
  <c r="L34" i="14" s="1"/>
  <c r="L35" i="14" s="1"/>
  <c r="L36" i="14" s="1"/>
  <c r="L37" i="14" s="1"/>
  <c r="L38" i="14" s="1"/>
  <c r="L39" i="14" s="1"/>
  <c r="L40" i="14" s="1"/>
  <c r="L41" i="14" s="1"/>
  <c r="L42" i="14" s="1"/>
  <c r="M42" i="14"/>
  <c r="K41" i="14"/>
  <c r="K42" i="14"/>
  <c r="M43" i="14"/>
  <c r="M28" i="14"/>
  <c r="K27" i="14"/>
  <c r="K40" i="14"/>
  <c r="M41" i="14"/>
  <c r="K26" i="14"/>
  <c r="M27" i="14"/>
  <c r="K43" i="14"/>
  <c r="M31" i="14"/>
  <c r="K30" i="14"/>
  <c r="K39" i="14"/>
  <c r="M40" i="14"/>
  <c r="K35" i="14"/>
  <c r="M36" i="14"/>
  <c r="M30" i="14"/>
  <c r="K29" i="14"/>
  <c r="M29" i="14"/>
  <c r="K28" i="14"/>
  <c r="K31" i="14"/>
  <c r="M32" i="14"/>
  <c r="M33" i="14"/>
  <c r="K32" i="14"/>
  <c r="M37" i="14"/>
  <c r="K36" i="14"/>
  <c r="M34" i="14"/>
  <c r="K33" i="14"/>
  <c r="M39" i="14"/>
  <c r="K38" i="14"/>
  <c r="N38" i="14" s="1"/>
  <c r="M35" i="14"/>
  <c r="K34" i="14"/>
  <c r="N34" i="14" s="1"/>
  <c r="K37" i="14"/>
  <c r="N37" i="14" s="1"/>
  <c r="I46" i="14"/>
  <c r="F46" i="14"/>
  <c r="J46" i="14"/>
  <c r="H46" i="14"/>
  <c r="N32" i="14" l="1"/>
  <c r="N41" i="14"/>
  <c r="N40" i="14"/>
  <c r="N28" i="14"/>
  <c r="N29" i="14"/>
  <c r="N31" i="14"/>
  <c r="N35" i="14"/>
  <c r="N33" i="14"/>
  <c r="M46" i="14"/>
  <c r="N30" i="14"/>
  <c r="N39" i="14"/>
  <c r="N36" i="14"/>
  <c r="K46" i="14"/>
  <c r="N46" i="14" l="1"/>
  <c r="D25" i="10" l="1"/>
  <c r="F39" i="10"/>
  <c r="E39" i="10"/>
  <c r="D39" i="10"/>
  <c r="F38" i="10"/>
  <c r="E38" i="10"/>
  <c r="D38" i="10"/>
  <c r="F37" i="10"/>
  <c r="E37" i="10"/>
  <c r="D37" i="10"/>
  <c r="F36" i="10"/>
  <c r="E36" i="10"/>
  <c r="D36" i="10"/>
  <c r="F35" i="10"/>
  <c r="E35" i="10"/>
  <c r="D35" i="10"/>
  <c r="F34" i="10"/>
  <c r="E34" i="10"/>
  <c r="D34" i="10"/>
  <c r="F33" i="10"/>
  <c r="E33" i="10"/>
  <c r="D33" i="10"/>
  <c r="F32" i="10"/>
  <c r="E32" i="10"/>
  <c r="D32" i="10"/>
  <c r="F31" i="10"/>
  <c r="E31" i="10"/>
  <c r="D31" i="10"/>
  <c r="F30" i="10"/>
  <c r="E30" i="10"/>
  <c r="D30" i="10"/>
  <c r="F29" i="10"/>
  <c r="E29" i="10"/>
  <c r="D29" i="10"/>
  <c r="F28" i="10"/>
  <c r="E28" i="10"/>
  <c r="D28" i="10"/>
  <c r="F27" i="10"/>
  <c r="E27" i="10"/>
  <c r="D27" i="10"/>
  <c r="F26" i="10"/>
  <c r="E26" i="10"/>
  <c r="G24" i="10"/>
  <c r="D24" i="10"/>
  <c r="I37" i="10" l="1"/>
  <c r="I31" i="10"/>
  <c r="I32" i="10"/>
  <c r="I29" i="10"/>
  <c r="I30" i="10"/>
  <c r="I33" i="10"/>
  <c r="I26" i="10"/>
  <c r="I41" i="10"/>
  <c r="I23" i="10"/>
  <c r="I28" i="10"/>
  <c r="I27" i="10"/>
  <c r="I36" i="10"/>
  <c r="I35" i="10"/>
  <c r="I34" i="10"/>
  <c r="F24" i="10"/>
  <c r="I24" i="10"/>
  <c r="I25" i="10"/>
  <c r="I40" i="10"/>
  <c r="I38" i="10"/>
  <c r="I39" i="10"/>
  <c r="G25" i="10"/>
  <c r="G26" i="10" s="1"/>
  <c r="G27" i="10" s="1"/>
  <c r="G28" i="10" s="1"/>
  <c r="G29" i="10" s="1"/>
  <c r="G30" i="10" s="1"/>
  <c r="G31" i="10" s="1"/>
  <c r="G32" i="10" s="1"/>
  <c r="G33" i="10" s="1"/>
  <c r="G34" i="10" s="1"/>
  <c r="G35" i="10" s="1"/>
  <c r="G36" i="10" s="1"/>
  <c r="G37" i="10" s="1"/>
  <c r="G38" i="10" s="1"/>
  <c r="G39" i="10" s="1"/>
  <c r="F42" i="10"/>
  <c r="D42" i="10"/>
  <c r="I42" i="10" l="1"/>
  <c r="H42" i="10"/>
  <c r="I14" i="6"/>
  <c r="E15" i="6" l="1"/>
  <c r="G15" i="6" s="1"/>
  <c r="E16" i="6"/>
  <c r="G16" i="6" s="1"/>
  <c r="E17" i="6"/>
  <c r="G17" i="6" s="1"/>
  <c r="E18" i="6"/>
  <c r="G18" i="6" s="1"/>
  <c r="E19" i="6"/>
  <c r="G19" i="6" s="1"/>
  <c r="E20" i="6"/>
  <c r="G20" i="6" s="1"/>
  <c r="AN34" i="6" s="1"/>
  <c r="E21" i="6"/>
  <c r="G21" i="6" s="1"/>
  <c r="AR34" i="6" s="1"/>
  <c r="E22" i="6"/>
  <c r="G22" i="6" s="1"/>
  <c r="E23" i="6"/>
  <c r="G23" i="6" s="1"/>
  <c r="AZ40" i="6" s="1"/>
  <c r="E14" i="6"/>
  <c r="G14" i="6" s="1"/>
  <c r="AV37" i="6" l="1"/>
  <c r="AU36" i="6"/>
  <c r="AX37" i="6" s="1"/>
  <c r="AJ30" i="6"/>
  <c r="AJ22" i="6"/>
  <c r="AI31" i="6"/>
  <c r="AL32" i="6" s="1"/>
  <c r="AI23" i="6"/>
  <c r="AL24" i="6" s="1"/>
  <c r="AJ26" i="6"/>
  <c r="AJ25" i="6"/>
  <c r="AJ37" i="6"/>
  <c r="AJ29" i="6"/>
  <c r="AI38" i="6"/>
  <c r="AL39" i="6" s="1"/>
  <c r="AI30" i="6"/>
  <c r="AL31" i="6" s="1"/>
  <c r="AI22" i="6"/>
  <c r="AL23" i="6" s="1"/>
  <c r="AJ36" i="6"/>
  <c r="AJ28" i="6"/>
  <c r="AI37" i="6"/>
  <c r="AL38" i="6" s="1"/>
  <c r="AI29" i="6"/>
  <c r="AL30" i="6" s="1"/>
  <c r="AI21" i="6"/>
  <c r="AL22" i="6" s="1"/>
  <c r="AJ34" i="6"/>
  <c r="AI26" i="6"/>
  <c r="AL27" i="6" s="1"/>
  <c r="AJ35" i="6"/>
  <c r="AJ27" i="6"/>
  <c r="AI36" i="6"/>
  <c r="AL37" i="6" s="1"/>
  <c r="AI28" i="6"/>
  <c r="AL29" i="6" s="1"/>
  <c r="AI20" i="6"/>
  <c r="AL21" i="6" s="1"/>
  <c r="AI27" i="6"/>
  <c r="AL28" i="6" s="1"/>
  <c r="AJ32" i="6"/>
  <c r="AJ24" i="6"/>
  <c r="AI33" i="6"/>
  <c r="AL34" i="6" s="1"/>
  <c r="AI25" i="6"/>
  <c r="AL26" i="6" s="1"/>
  <c r="AI35" i="6"/>
  <c r="AL36" i="6" s="1"/>
  <c r="AJ33" i="6"/>
  <c r="AJ31" i="6"/>
  <c r="AJ23" i="6"/>
  <c r="AI32" i="6"/>
  <c r="AL33" i="6" s="1"/>
  <c r="AI24" i="6"/>
  <c r="AL25" i="6" s="1"/>
  <c r="AI19" i="6"/>
  <c r="AL20" i="6" s="1"/>
  <c r="AI34" i="6"/>
  <c r="AL35" i="6" s="1"/>
  <c r="AG34" i="6"/>
  <c r="AG26" i="6"/>
  <c r="AG18" i="6"/>
  <c r="AF30" i="6"/>
  <c r="AF22" i="6"/>
  <c r="AE31" i="6"/>
  <c r="AH32" i="6" s="1"/>
  <c r="AE23" i="6"/>
  <c r="AH24" i="6" s="1"/>
  <c r="AG22" i="6"/>
  <c r="AF25" i="6"/>
  <c r="AG33" i="6"/>
  <c r="AG25" i="6"/>
  <c r="AF37" i="6"/>
  <c r="AF29" i="6"/>
  <c r="AF21" i="6"/>
  <c r="AE30" i="6"/>
  <c r="AH31" i="6" s="1"/>
  <c r="AE22" i="6"/>
  <c r="AH23" i="6" s="1"/>
  <c r="AF26" i="6"/>
  <c r="AG21" i="6"/>
  <c r="AG32" i="6"/>
  <c r="AG24" i="6"/>
  <c r="AF36" i="6"/>
  <c r="AF28" i="6"/>
  <c r="AE37" i="6"/>
  <c r="AH38" i="6" s="1"/>
  <c r="AE29" i="6"/>
  <c r="AH30" i="6" s="1"/>
  <c r="AE21" i="6"/>
  <c r="AH22" i="6" s="1"/>
  <c r="AG30" i="6"/>
  <c r="AE19" i="6"/>
  <c r="AH20" i="6" s="1"/>
  <c r="AE34" i="6"/>
  <c r="AH35" i="6" s="1"/>
  <c r="AG31" i="6"/>
  <c r="AG23" i="6"/>
  <c r="AF35" i="6"/>
  <c r="AF27" i="6"/>
  <c r="AE36" i="6"/>
  <c r="AH37" i="6" s="1"/>
  <c r="AE28" i="6"/>
  <c r="AH29" i="6" s="1"/>
  <c r="AE20" i="6"/>
  <c r="AH21" i="6" s="1"/>
  <c r="AE35" i="6"/>
  <c r="AH36" i="6" s="1"/>
  <c r="AG37" i="6"/>
  <c r="AE18" i="6"/>
  <c r="AH19" i="6" s="1"/>
  <c r="AG36" i="6"/>
  <c r="AG28" i="6"/>
  <c r="AG20" i="6"/>
  <c r="AF32" i="6"/>
  <c r="AF24" i="6"/>
  <c r="AE33" i="6"/>
  <c r="AH34" i="6" s="1"/>
  <c r="AE25" i="6"/>
  <c r="AH26" i="6" s="1"/>
  <c r="AF34" i="6"/>
  <c r="AG29" i="6"/>
  <c r="AE26" i="6"/>
  <c r="AH27" i="6" s="1"/>
  <c r="AG35" i="6"/>
  <c r="AG27" i="6"/>
  <c r="AG19" i="6"/>
  <c r="AF31" i="6"/>
  <c r="AF23" i="6"/>
  <c r="AE32" i="6"/>
  <c r="AH33" i="6" s="1"/>
  <c r="AE24" i="6"/>
  <c r="AH25" i="6" s="1"/>
  <c r="AE27" i="6"/>
  <c r="AH28" i="6" s="1"/>
  <c r="AF33" i="6"/>
  <c r="AC34" i="6"/>
  <c r="AC26" i="6"/>
  <c r="AC18" i="6"/>
  <c r="AB30" i="6"/>
  <c r="AB22" i="6"/>
  <c r="AA31" i="6"/>
  <c r="AD32" i="6" s="1"/>
  <c r="AA23" i="6"/>
  <c r="AD24" i="6" s="1"/>
  <c r="AC30" i="6"/>
  <c r="AA19" i="6"/>
  <c r="AD20" i="6" s="1"/>
  <c r="AB33" i="6"/>
  <c r="AC33" i="6"/>
  <c r="AC25" i="6"/>
  <c r="AC17" i="6"/>
  <c r="AB29" i="6"/>
  <c r="AB21" i="6"/>
  <c r="AA30" i="6"/>
  <c r="AD31" i="6" s="1"/>
  <c r="AA22" i="6"/>
  <c r="AD23" i="6" s="1"/>
  <c r="AB34" i="6"/>
  <c r="AC29" i="6"/>
  <c r="AA18" i="6"/>
  <c r="AD19" i="6" s="1"/>
  <c r="AC32" i="6"/>
  <c r="AC24" i="6"/>
  <c r="AB36" i="6"/>
  <c r="AB28" i="6"/>
  <c r="AB20" i="6"/>
  <c r="AA29" i="6"/>
  <c r="AD30" i="6" s="1"/>
  <c r="AA21" i="6"/>
  <c r="AD22" i="6" s="1"/>
  <c r="AA27" i="6"/>
  <c r="AD28" i="6" s="1"/>
  <c r="AB25" i="6"/>
  <c r="AC31" i="6"/>
  <c r="AC23" i="6"/>
  <c r="AB35" i="6"/>
  <c r="AB27" i="6"/>
  <c r="AA36" i="6"/>
  <c r="AD37" i="6" s="1"/>
  <c r="AA28" i="6"/>
  <c r="AD29" i="6" s="1"/>
  <c r="AA20" i="6"/>
  <c r="AD21" i="6" s="1"/>
  <c r="AB26" i="6"/>
  <c r="AA26" i="6"/>
  <c r="AD27" i="6" s="1"/>
  <c r="AC36" i="6"/>
  <c r="AC28" i="6"/>
  <c r="AC20" i="6"/>
  <c r="AB32" i="6"/>
  <c r="AB24" i="6"/>
  <c r="AA33" i="6"/>
  <c r="AD34" i="6" s="1"/>
  <c r="AA25" i="6"/>
  <c r="AD26" i="6" s="1"/>
  <c r="AA17" i="6"/>
  <c r="AD18" i="6" s="1"/>
  <c r="AC22" i="6"/>
  <c r="AA34" i="6"/>
  <c r="AD35" i="6" s="1"/>
  <c r="AC35" i="6"/>
  <c r="AC27" i="6"/>
  <c r="AC19" i="6"/>
  <c r="AB31" i="6"/>
  <c r="AB23" i="6"/>
  <c r="AA32" i="6"/>
  <c r="AD33" i="6" s="1"/>
  <c r="AA24" i="6"/>
  <c r="AD25" i="6" s="1"/>
  <c r="AA35" i="6"/>
  <c r="AD36" i="6" s="1"/>
  <c r="AC21" i="6"/>
  <c r="O18" i="6"/>
  <c r="R19" i="6" s="1"/>
  <c r="P26" i="6"/>
  <c r="P21" i="6"/>
  <c r="Q18" i="6"/>
  <c r="P25" i="6"/>
  <c r="P22" i="6"/>
  <c r="O16" i="6"/>
  <c r="R17" i="6" s="1"/>
  <c r="P18" i="6"/>
  <c r="O20" i="6"/>
  <c r="R21" i="6" s="1"/>
  <c r="P24" i="6"/>
  <c r="O19" i="6"/>
  <c r="R20" i="6" s="1"/>
  <c r="P23" i="6"/>
  <c r="O15" i="6"/>
  <c r="R16" i="6" s="1"/>
  <c r="P20" i="6"/>
  <c r="O17" i="6"/>
  <c r="R18" i="6" s="1"/>
  <c r="P19" i="6"/>
  <c r="W31" i="6"/>
  <c r="Z32" i="6" s="1"/>
  <c r="Y34" i="6"/>
  <c r="Y26" i="6"/>
  <c r="Y18" i="6"/>
  <c r="X30" i="6"/>
  <c r="X22" i="6"/>
  <c r="W26" i="6"/>
  <c r="Z27" i="6" s="1"/>
  <c r="W18" i="6"/>
  <c r="Z19" i="6" s="1"/>
  <c r="W22" i="6"/>
  <c r="Z23" i="6" s="1"/>
  <c r="Y21" i="6"/>
  <c r="W30" i="6"/>
  <c r="Z31" i="6" s="1"/>
  <c r="Y33" i="6"/>
  <c r="Y25" i="6"/>
  <c r="Y17" i="6"/>
  <c r="X29" i="6"/>
  <c r="X21" i="6"/>
  <c r="W25" i="6"/>
  <c r="Z26" i="6" s="1"/>
  <c r="W17" i="6"/>
  <c r="Z18" i="6" s="1"/>
  <c r="Y22" i="6"/>
  <c r="W21" i="6"/>
  <c r="Z22" i="6" s="1"/>
  <c r="W29" i="6"/>
  <c r="Z30" i="6" s="1"/>
  <c r="Y32" i="6"/>
  <c r="Y24" i="6"/>
  <c r="Y16" i="6"/>
  <c r="X28" i="6"/>
  <c r="X20" i="6"/>
  <c r="W24" i="6"/>
  <c r="Z25" i="6" s="1"/>
  <c r="W16" i="6"/>
  <c r="Z17" i="6" s="1"/>
  <c r="W35" i="6"/>
  <c r="Z36" i="6" s="1"/>
  <c r="W34" i="6"/>
  <c r="Z35" i="6" s="1"/>
  <c r="W28" i="6"/>
  <c r="Z29" i="6" s="1"/>
  <c r="Y31" i="6"/>
  <c r="Y23" i="6"/>
  <c r="X35" i="6"/>
  <c r="X27" i="6"/>
  <c r="X19" i="6"/>
  <c r="W23" i="6"/>
  <c r="Z24" i="6" s="1"/>
  <c r="X26" i="6"/>
  <c r="X25" i="6"/>
  <c r="Y28" i="6"/>
  <c r="Y20" i="6"/>
  <c r="X32" i="6"/>
  <c r="X24" i="6"/>
  <c r="W33" i="6"/>
  <c r="Z34" i="6" s="1"/>
  <c r="W20" i="6"/>
  <c r="Z21" i="6" s="1"/>
  <c r="Y30" i="6"/>
  <c r="X33" i="6"/>
  <c r="W32" i="6"/>
  <c r="Z33" i="6" s="1"/>
  <c r="Y35" i="6"/>
  <c r="Y27" i="6"/>
  <c r="Y19" i="6"/>
  <c r="X31" i="6"/>
  <c r="X23" i="6"/>
  <c r="W27" i="6"/>
  <c r="Z28" i="6" s="1"/>
  <c r="W19" i="6"/>
  <c r="Z20" i="6" s="1"/>
  <c r="X34" i="6"/>
  <c r="Y29" i="6"/>
  <c r="S25" i="6"/>
  <c r="V26" i="6" s="1"/>
  <c r="U29" i="6"/>
  <c r="U21" i="6"/>
  <c r="T33" i="6"/>
  <c r="T21" i="6"/>
  <c r="S30" i="6"/>
  <c r="V31" i="6" s="1"/>
  <c r="S16" i="6"/>
  <c r="V17" i="6" s="1"/>
  <c r="S34" i="6"/>
  <c r="V35" i="6" s="1"/>
  <c r="U24" i="6"/>
  <c r="S24" i="6"/>
  <c r="V25" i="6" s="1"/>
  <c r="U28" i="6"/>
  <c r="U20" i="6"/>
  <c r="T32" i="6"/>
  <c r="T20" i="6"/>
  <c r="S29" i="6"/>
  <c r="V30" i="6" s="1"/>
  <c r="S15" i="6"/>
  <c r="V16" i="6" s="1"/>
  <c r="U25" i="6"/>
  <c r="T27" i="6"/>
  <c r="S23" i="6"/>
  <c r="V24" i="6" s="1"/>
  <c r="U27" i="6"/>
  <c r="U19" i="6"/>
  <c r="T31" i="6"/>
  <c r="T19" i="6"/>
  <c r="S28" i="6"/>
  <c r="V29" i="6" s="1"/>
  <c r="T28" i="6"/>
  <c r="S21" i="6"/>
  <c r="V22" i="6" s="1"/>
  <c r="T29" i="6"/>
  <c r="S33" i="6"/>
  <c r="V34" i="6" s="1"/>
  <c r="S22" i="6"/>
  <c r="V23" i="6" s="1"/>
  <c r="U34" i="6"/>
  <c r="U26" i="6"/>
  <c r="U18" i="6"/>
  <c r="T30" i="6"/>
  <c r="T18" i="6"/>
  <c r="S27" i="6"/>
  <c r="V28" i="6" s="1"/>
  <c r="S26" i="6"/>
  <c r="V27" i="6" s="1"/>
  <c r="T24" i="6"/>
  <c r="T26" i="6"/>
  <c r="U31" i="6"/>
  <c r="U23" i="6"/>
  <c r="U15" i="6"/>
  <c r="T23" i="6"/>
  <c r="S32" i="6"/>
  <c r="V33" i="6" s="1"/>
  <c r="S18" i="6"/>
  <c r="V19" i="6" s="1"/>
  <c r="U33" i="6"/>
  <c r="S20" i="6"/>
  <c r="V21" i="6" s="1"/>
  <c r="U16" i="6"/>
  <c r="T25" i="6"/>
  <c r="U30" i="6"/>
  <c r="U22" i="6"/>
  <c r="T34" i="6"/>
  <c r="T22" i="6"/>
  <c r="S31" i="6"/>
  <c r="V32" i="6" s="1"/>
  <c r="S17" i="6"/>
  <c r="V18" i="6" s="1"/>
  <c r="U17" i="6"/>
  <c r="U32" i="6"/>
  <c r="S19" i="6"/>
  <c r="V20" i="6" s="1"/>
  <c r="Q26" i="6"/>
  <c r="L14" i="6"/>
  <c r="Q14" i="6"/>
  <c r="P30" i="6"/>
  <c r="Q30" i="6"/>
  <c r="Q22" i="6"/>
  <c r="O33" i="6"/>
  <c r="R34" i="6" s="1"/>
  <c r="O25" i="6"/>
  <c r="R26" i="6" s="1"/>
  <c r="P29" i="6"/>
  <c r="Q29" i="6"/>
  <c r="Q21" i="6"/>
  <c r="O32" i="6"/>
  <c r="R33" i="6" s="1"/>
  <c r="O24" i="6"/>
  <c r="R25" i="6" s="1"/>
  <c r="Q31" i="6"/>
  <c r="P28" i="6"/>
  <c r="Q28" i="6"/>
  <c r="Q20" i="6"/>
  <c r="O31" i="6"/>
  <c r="R32" i="6" s="1"/>
  <c r="O23" i="6"/>
  <c r="R24" i="6" s="1"/>
  <c r="Q23" i="6"/>
  <c r="P27" i="6"/>
  <c r="Q27" i="6"/>
  <c r="Q19" i="6"/>
  <c r="O30" i="6"/>
  <c r="R31" i="6" s="1"/>
  <c r="O22" i="6"/>
  <c r="R23" i="6" s="1"/>
  <c r="P31" i="6"/>
  <c r="P17" i="6"/>
  <c r="O29" i="6"/>
  <c r="R30" i="6" s="1"/>
  <c r="O21" i="6"/>
  <c r="R22" i="6" s="1"/>
  <c r="O26" i="6"/>
  <c r="R27" i="6" s="1"/>
  <c r="P33" i="6"/>
  <c r="Q33" i="6"/>
  <c r="Q25" i="6"/>
  <c r="Q17" i="6"/>
  <c r="O28" i="6"/>
  <c r="R29" i="6" s="1"/>
  <c r="P32" i="6"/>
  <c r="Q32" i="6"/>
  <c r="Q24" i="6"/>
  <c r="O27" i="6"/>
  <c r="R28" i="6" s="1"/>
  <c r="P45" i="6" l="1"/>
  <c r="I17" i="6"/>
  <c r="E45" i="6"/>
  <c r="M16" i="6" l="1"/>
  <c r="F21" i="6"/>
  <c r="AS39" i="6"/>
  <c r="AS31" i="6"/>
  <c r="AS22" i="6"/>
  <c r="AR35" i="6"/>
  <c r="AR27" i="6"/>
  <c r="AQ30" i="6"/>
  <c r="AT31" i="6" s="1"/>
  <c r="M31" i="6" s="1"/>
  <c r="AQ38" i="6"/>
  <c r="AT39" i="6" s="1"/>
  <c r="AS21" i="6"/>
  <c r="AS38" i="6"/>
  <c r="AS30" i="6"/>
  <c r="AS23" i="6"/>
  <c r="AR26" i="6"/>
  <c r="AQ31" i="6"/>
  <c r="AT32" i="6" s="1"/>
  <c r="AQ39" i="6"/>
  <c r="AT40" i="6" s="1"/>
  <c r="AS37" i="6"/>
  <c r="AS29" i="6"/>
  <c r="AR33" i="6"/>
  <c r="AR25" i="6"/>
  <c r="AQ32" i="6"/>
  <c r="AT33" i="6" s="1"/>
  <c r="AQ40" i="6"/>
  <c r="AT41" i="6" s="1"/>
  <c r="AS28" i="6"/>
  <c r="AR37" i="6"/>
  <c r="AQ26" i="6"/>
  <c r="AT27" i="6" s="1"/>
  <c r="AQ37" i="6"/>
  <c r="AT38" i="6" s="1"/>
  <c r="AQ21" i="6"/>
  <c r="AT22" i="6" s="1"/>
  <c r="AS27" i="6"/>
  <c r="AR36" i="6"/>
  <c r="AQ27" i="6"/>
  <c r="AT28" i="6" s="1"/>
  <c r="AQ25" i="6"/>
  <c r="AT26" i="6" s="1"/>
  <c r="AS36" i="6"/>
  <c r="AS40" i="6"/>
  <c r="AS26" i="6"/>
  <c r="AR32" i="6"/>
  <c r="AQ28" i="6"/>
  <c r="AT29" i="6" s="1"/>
  <c r="AS35" i="6"/>
  <c r="AS24" i="6"/>
  <c r="AR30" i="6"/>
  <c r="AQ33" i="6"/>
  <c r="AT34" i="6" s="1"/>
  <c r="AQ23" i="6"/>
  <c r="AT24" i="6" s="1"/>
  <c r="AR31" i="6"/>
  <c r="AQ22" i="6"/>
  <c r="AT23" i="6" s="1"/>
  <c r="AR28" i="6"/>
  <c r="AQ29" i="6"/>
  <c r="AT30" i="6" s="1"/>
  <c r="AR40" i="6"/>
  <c r="AR39" i="6"/>
  <c r="AS34" i="6"/>
  <c r="AR29" i="6"/>
  <c r="AS25" i="6"/>
  <c r="AQ34" i="6"/>
  <c r="AT35" i="6" s="1"/>
  <c r="AQ36" i="6"/>
  <c r="AT37" i="6" s="1"/>
  <c r="AS33" i="6"/>
  <c r="AQ24" i="6"/>
  <c r="AT25" i="6" s="1"/>
  <c r="AS32" i="6"/>
  <c r="AR24" i="6"/>
  <c r="AQ35" i="6"/>
  <c r="AT36" i="6" s="1"/>
  <c r="AR38" i="6"/>
  <c r="F20" i="6"/>
  <c r="AO39" i="6"/>
  <c r="AO31" i="6"/>
  <c r="AO23" i="6"/>
  <c r="AN38" i="6"/>
  <c r="AN30" i="6"/>
  <c r="AM37" i="6"/>
  <c r="AP38" i="6" s="1"/>
  <c r="AM28" i="6"/>
  <c r="AP29" i="6" s="1"/>
  <c r="AM22" i="6"/>
  <c r="AP23" i="6" s="1"/>
  <c r="AO38" i="6"/>
  <c r="AO30" i="6"/>
  <c r="AO21" i="6"/>
  <c r="AN37" i="6"/>
  <c r="AN29" i="6"/>
  <c r="AM38" i="6"/>
  <c r="AP39" i="6" s="1"/>
  <c r="AM29" i="6"/>
  <c r="AP30" i="6" s="1"/>
  <c r="AM21" i="6"/>
  <c r="AP22" i="6" s="1"/>
  <c r="AO20" i="6"/>
  <c r="AO37" i="6"/>
  <c r="AO29" i="6"/>
  <c r="AO22" i="6"/>
  <c r="AN36" i="6"/>
  <c r="AN28" i="6"/>
  <c r="AM39" i="6"/>
  <c r="AP40" i="6" s="1"/>
  <c r="AM30" i="6"/>
  <c r="AP31" i="6" s="1"/>
  <c r="AO34" i="6"/>
  <c r="AN32" i="6"/>
  <c r="AM24" i="6"/>
  <c r="AP25" i="6" s="1"/>
  <c r="AM35" i="6"/>
  <c r="AP36" i="6" s="1"/>
  <c r="AO33" i="6"/>
  <c r="AN31" i="6"/>
  <c r="AM25" i="6"/>
  <c r="AP26" i="6" s="1"/>
  <c r="AM23" i="6"/>
  <c r="AP24" i="6" s="1"/>
  <c r="AO32" i="6"/>
  <c r="AN27" i="6"/>
  <c r="AM26" i="6"/>
  <c r="AP27" i="6" s="1"/>
  <c r="AO27" i="6"/>
  <c r="AN39" i="6"/>
  <c r="AN25" i="6"/>
  <c r="AM31" i="6"/>
  <c r="AP32" i="6" s="1"/>
  <c r="AM27" i="6"/>
  <c r="AP28" i="6" s="1"/>
  <c r="AN33" i="6"/>
  <c r="AN26" i="6"/>
  <c r="AO24" i="6"/>
  <c r="AM20" i="6"/>
  <c r="AP21" i="6" s="1"/>
  <c r="AN35" i="6"/>
  <c r="AM32" i="6"/>
  <c r="AP33" i="6" s="1"/>
  <c r="AO36" i="6"/>
  <c r="AO35" i="6"/>
  <c r="AM36" i="6"/>
  <c r="AP37" i="6" s="1"/>
  <c r="AM33" i="6"/>
  <c r="AP34" i="6" s="1"/>
  <c r="AM34" i="6"/>
  <c r="AP35" i="6" s="1"/>
  <c r="M35" i="6" s="1"/>
  <c r="AO28" i="6"/>
  <c r="AO26" i="6"/>
  <c r="AO25" i="6"/>
  <c r="AN23" i="6"/>
  <c r="AN24" i="6"/>
  <c r="F23" i="6"/>
  <c r="BA36" i="6"/>
  <c r="BA28" i="6"/>
  <c r="AZ41" i="6"/>
  <c r="AZ33" i="6"/>
  <c r="AY27" i="6"/>
  <c r="BB28" i="6" s="1"/>
  <c r="AY35" i="6"/>
  <c r="BB36" i="6" s="1"/>
  <c r="AY26" i="6"/>
  <c r="BB27" i="6" s="1"/>
  <c r="BA35" i="6"/>
  <c r="BA27" i="6"/>
  <c r="AZ32" i="6"/>
  <c r="AY28" i="6"/>
  <c r="BB29" i="6" s="1"/>
  <c r="AY36" i="6"/>
  <c r="BB37" i="6" s="1"/>
  <c r="BA42" i="6"/>
  <c r="J42" i="6" s="1"/>
  <c r="BA34" i="6"/>
  <c r="BA26" i="6"/>
  <c r="AZ39" i="6"/>
  <c r="AZ31" i="6"/>
  <c r="AY29" i="6"/>
  <c r="BB30" i="6" s="1"/>
  <c r="AY37" i="6"/>
  <c r="BB38" i="6" s="1"/>
  <c r="AY25" i="6"/>
  <c r="BB26" i="6" s="1"/>
  <c r="BA41" i="6"/>
  <c r="BA30" i="6"/>
  <c r="AZ37" i="6"/>
  <c r="AZ26" i="6"/>
  <c r="AY40" i="6"/>
  <c r="BB41" i="6" s="1"/>
  <c r="BA25" i="6"/>
  <c r="AY32" i="6"/>
  <c r="BB33" i="6" s="1"/>
  <c r="BA40" i="6"/>
  <c r="BA29" i="6"/>
  <c r="AZ36" i="6"/>
  <c r="AY30" i="6"/>
  <c r="BB31" i="6" s="1"/>
  <c r="AY41" i="6"/>
  <c r="AZ34" i="6"/>
  <c r="BA39" i="6"/>
  <c r="BA24" i="6"/>
  <c r="AZ35" i="6"/>
  <c r="AY31" i="6"/>
  <c r="BB32" i="6" s="1"/>
  <c r="AY42" i="6"/>
  <c r="BA38" i="6"/>
  <c r="AY24" i="6"/>
  <c r="BB25" i="6" s="1"/>
  <c r="BA37" i="6"/>
  <c r="BA23" i="6"/>
  <c r="AZ30" i="6"/>
  <c r="AY33" i="6"/>
  <c r="BB34" i="6" s="1"/>
  <c r="AY23" i="6"/>
  <c r="BB24" i="6" s="1"/>
  <c r="BA31" i="6"/>
  <c r="AY38" i="6"/>
  <c r="BB39" i="6" s="1"/>
  <c r="AY39" i="6"/>
  <c r="BB40" i="6" s="1"/>
  <c r="AZ29" i="6"/>
  <c r="BA33" i="6"/>
  <c r="AZ42" i="6"/>
  <c r="I42" i="6" s="1"/>
  <c r="AZ28" i="6"/>
  <c r="AZ27" i="6"/>
  <c r="AY34" i="6"/>
  <c r="BB35" i="6" s="1"/>
  <c r="AZ38" i="6"/>
  <c r="BA32" i="6"/>
  <c r="F22" i="6"/>
  <c r="AW39" i="6"/>
  <c r="J39" i="6" s="1"/>
  <c r="AW31" i="6"/>
  <c r="AW24" i="6"/>
  <c r="AV35" i="6"/>
  <c r="AV27" i="6"/>
  <c r="AU28" i="6"/>
  <c r="AX29" i="6" s="1"/>
  <c r="AU25" i="6"/>
  <c r="AX26" i="6" s="1"/>
  <c r="AW38" i="6"/>
  <c r="AW30" i="6"/>
  <c r="AV34" i="6"/>
  <c r="I34" i="6" s="1"/>
  <c r="AV26" i="6"/>
  <c r="AU29" i="6"/>
  <c r="AX30" i="6" s="1"/>
  <c r="AU37" i="6"/>
  <c r="AX38" i="6" s="1"/>
  <c r="AW37" i="6"/>
  <c r="AW29" i="6"/>
  <c r="AV41" i="6"/>
  <c r="AV33" i="6"/>
  <c r="AU39" i="6"/>
  <c r="AX40" i="6" s="1"/>
  <c r="AU30" i="6"/>
  <c r="AX31" i="6" s="1"/>
  <c r="AU38" i="6"/>
  <c r="AX39" i="6" s="1"/>
  <c r="AW36" i="6"/>
  <c r="AW25" i="6"/>
  <c r="AV31" i="6"/>
  <c r="AU27" i="6"/>
  <c r="AX28" i="6" s="1"/>
  <c r="AU24" i="6"/>
  <c r="AX25" i="6" s="1"/>
  <c r="AV39" i="6"/>
  <c r="AW35" i="6"/>
  <c r="AW23" i="6"/>
  <c r="AV30" i="6"/>
  <c r="AU31" i="6"/>
  <c r="AX32" i="6" s="1"/>
  <c r="AW33" i="6"/>
  <c r="AU33" i="6"/>
  <c r="AX34" i="6" s="1"/>
  <c r="AW34" i="6"/>
  <c r="AV40" i="6"/>
  <c r="AV29" i="6"/>
  <c r="AU32" i="6"/>
  <c r="AX33" i="6" s="1"/>
  <c r="AV28" i="6"/>
  <c r="AW32" i="6"/>
  <c r="AV38" i="6"/>
  <c r="AU40" i="6"/>
  <c r="AX41" i="6" s="1"/>
  <c r="AU34" i="6"/>
  <c r="AX35" i="6" s="1"/>
  <c r="AU23" i="6"/>
  <c r="AX24" i="6" s="1"/>
  <c r="AW41" i="6"/>
  <c r="J41" i="6" s="1"/>
  <c r="AW40" i="6"/>
  <c r="AW26" i="6"/>
  <c r="AW22" i="6"/>
  <c r="AV36" i="6"/>
  <c r="AV32" i="6"/>
  <c r="AU41" i="6"/>
  <c r="AX42" i="6" s="1"/>
  <c r="AU35" i="6"/>
  <c r="AX36" i="6" s="1"/>
  <c r="AU22" i="6"/>
  <c r="AX23" i="6" s="1"/>
  <c r="AU26" i="6"/>
  <c r="AX27" i="6" s="1"/>
  <c r="AV25" i="6"/>
  <c r="AW28" i="6"/>
  <c r="AW27" i="6"/>
  <c r="F19" i="6"/>
  <c r="AK34" i="6"/>
  <c r="AK26" i="6"/>
  <c r="AK33" i="6"/>
  <c r="AK25" i="6"/>
  <c r="AK32" i="6"/>
  <c r="AK24" i="6"/>
  <c r="AK19" i="6"/>
  <c r="AK29" i="6"/>
  <c r="AK22" i="6"/>
  <c r="AK28" i="6"/>
  <c r="AK20" i="6"/>
  <c r="AK38" i="6"/>
  <c r="AK27" i="6"/>
  <c r="AK36" i="6"/>
  <c r="AK21" i="6"/>
  <c r="AK23" i="6"/>
  <c r="M29" i="6"/>
  <c r="M32" i="6"/>
  <c r="AJ38" i="6"/>
  <c r="AK35" i="6"/>
  <c r="AK30" i="6"/>
  <c r="AK37" i="6"/>
  <c r="AK31" i="6"/>
  <c r="F18" i="6"/>
  <c r="M25" i="6"/>
  <c r="F17" i="6"/>
  <c r="M20" i="6"/>
  <c r="L16" i="6"/>
  <c r="L17" i="6" s="1"/>
  <c r="L18" i="6" s="1"/>
  <c r="F15" i="6"/>
  <c r="M17" i="6"/>
  <c r="I18" i="6"/>
  <c r="I33" i="6"/>
  <c r="I25" i="6"/>
  <c r="I31" i="6"/>
  <c r="I23" i="6"/>
  <c r="Q15" i="6"/>
  <c r="G45" i="6"/>
  <c r="F16" i="6"/>
  <c r="Q16" i="6"/>
  <c r="I15" i="6"/>
  <c r="F14" i="6"/>
  <c r="I35" i="6" l="1"/>
  <c r="I41" i="6"/>
  <c r="BB43" i="6"/>
  <c r="M43" i="6" s="1"/>
  <c r="BB42" i="6"/>
  <c r="I39" i="6"/>
  <c r="I40" i="6"/>
  <c r="M33" i="6"/>
  <c r="I29" i="6"/>
  <c r="M40" i="6"/>
  <c r="M27" i="6"/>
  <c r="M24" i="6"/>
  <c r="M21" i="6"/>
  <c r="F45" i="6"/>
  <c r="M23" i="6"/>
  <c r="M37" i="6"/>
  <c r="M44" i="6"/>
  <c r="N44" i="6" s="1"/>
  <c r="K42" i="6"/>
  <c r="I21" i="6"/>
  <c r="I28" i="6"/>
  <c r="M39" i="6"/>
  <c r="M22" i="6"/>
  <c r="I22" i="6"/>
  <c r="I24" i="6"/>
  <c r="I27" i="6"/>
  <c r="I36" i="6"/>
  <c r="M38" i="6"/>
  <c r="I37" i="6"/>
  <c r="M34" i="6"/>
  <c r="M41" i="6"/>
  <c r="H40" i="6"/>
  <c r="K40" i="6" s="1"/>
  <c r="M26" i="6"/>
  <c r="M30" i="6"/>
  <c r="M28" i="6"/>
  <c r="I20" i="6"/>
  <c r="I30" i="6"/>
  <c r="I32" i="6"/>
  <c r="I26" i="6"/>
  <c r="M36" i="6"/>
  <c r="I38" i="6"/>
  <c r="N42" i="6"/>
  <c r="H41" i="6"/>
  <c r="K41" i="6" s="1"/>
  <c r="J40" i="6"/>
  <c r="I16" i="6"/>
  <c r="J37" i="6"/>
  <c r="J38" i="6"/>
  <c r="J30" i="6"/>
  <c r="J33" i="6"/>
  <c r="J36" i="6"/>
  <c r="J26" i="6"/>
  <c r="J27" i="6"/>
  <c r="J31" i="6"/>
  <c r="J35" i="6"/>
  <c r="U45" i="6"/>
  <c r="J28" i="6"/>
  <c r="J25" i="6"/>
  <c r="J29" i="6"/>
  <c r="J32" i="6"/>
  <c r="J34" i="6"/>
  <c r="Q45" i="6"/>
  <c r="H15" i="6"/>
  <c r="T45" i="6"/>
  <c r="N41" i="6" l="1"/>
  <c r="N40" i="6"/>
  <c r="K14" i="6"/>
  <c r="N14" i="6" s="1"/>
  <c r="J16" i="6"/>
  <c r="J15" i="6"/>
  <c r="H28" i="6"/>
  <c r="K28" i="6" s="1"/>
  <c r="N28" i="6" s="1"/>
  <c r="H31" i="6"/>
  <c r="K31" i="6" s="1"/>
  <c r="N31" i="6" s="1"/>
  <c r="K15" i="6"/>
  <c r="N15" i="6" s="1"/>
  <c r="H27" i="6"/>
  <c r="K27" i="6" s="1"/>
  <c r="N27" i="6" s="1"/>
  <c r="H29" i="6"/>
  <c r="K29" i="6" s="1"/>
  <c r="N29" i="6" s="1"/>
  <c r="H30" i="6"/>
  <c r="K30" i="6" s="1"/>
  <c r="N30" i="6" s="1"/>
  <c r="X45" i="6"/>
  <c r="L19" i="6" l="1"/>
  <c r="L20" i="6" s="1"/>
  <c r="L21" i="6" s="1"/>
  <c r="L22" i="6" s="1"/>
  <c r="L23" i="6" s="1"/>
  <c r="L24" i="6" s="1"/>
  <c r="L25" i="6" s="1"/>
  <c r="L26" i="6" s="1"/>
  <c r="L27" i="6" s="1"/>
  <c r="L28" i="6" s="1"/>
  <c r="L29" i="6" s="1"/>
  <c r="L30" i="6" s="1"/>
  <c r="L31" i="6" s="1"/>
  <c r="L32" i="6" s="1"/>
  <c r="L33" i="6" s="1"/>
  <c r="L34" i="6" s="1"/>
  <c r="L35" i="6" s="1"/>
  <c r="L36" i="6" s="1"/>
  <c r="L37" i="6" s="1"/>
  <c r="L38" i="6" s="1"/>
  <c r="L39" i="6" s="1"/>
  <c r="L40" i="6" s="1"/>
  <c r="L41" i="6" s="1"/>
  <c r="L42" i="6" s="1"/>
  <c r="I19" i="6"/>
  <c r="I45" i="6" s="1"/>
  <c r="J17" i="6"/>
  <c r="R45" i="6"/>
  <c r="Y45" i="6"/>
  <c r="M18" i="6"/>
  <c r="AC45" i="6"/>
  <c r="H16" i="6"/>
  <c r="K16" i="6" s="1"/>
  <c r="N16" i="6" s="1"/>
  <c r="H32" i="6"/>
  <c r="K32" i="6" s="1"/>
  <c r="N32" i="6" s="1"/>
  <c r="V45" i="6" l="1"/>
  <c r="Z45" i="6"/>
  <c r="J18" i="6"/>
  <c r="AD45" i="6"/>
  <c r="AG45" i="6"/>
  <c r="AK45" i="6"/>
  <c r="J19" i="6"/>
  <c r="AB45" i="6"/>
  <c r="M19" i="6"/>
  <c r="H33" i="6"/>
  <c r="K33" i="6" s="1"/>
  <c r="N33" i="6" s="1"/>
  <c r="AF45" i="6"/>
  <c r="AO45" i="6" l="1"/>
  <c r="J20" i="6"/>
  <c r="AH45" i="6"/>
  <c r="H34" i="6"/>
  <c r="K34" i="6" s="1"/>
  <c r="N34" i="6" s="1"/>
  <c r="AJ45" i="6"/>
  <c r="AS45" i="6" l="1"/>
  <c r="J21" i="6"/>
  <c r="AL45" i="6"/>
  <c r="H35" i="6"/>
  <c r="K35" i="6" s="1"/>
  <c r="N35" i="6" s="1"/>
  <c r="AN45" i="6"/>
  <c r="AP45" i="6" l="1"/>
  <c r="AW45" i="6"/>
  <c r="J22" i="6"/>
  <c r="H36" i="6"/>
  <c r="K36" i="6" s="1"/>
  <c r="N36" i="6" s="1"/>
  <c r="AR45" i="6"/>
  <c r="J24" i="6" l="1"/>
  <c r="J23" i="6"/>
  <c r="AT45" i="6"/>
  <c r="H37" i="6"/>
  <c r="K37" i="6" s="1"/>
  <c r="N37" i="6" s="1"/>
  <c r="AV45" i="6"/>
  <c r="J45" i="6" l="1"/>
  <c r="AX45" i="6"/>
  <c r="BA45" i="6"/>
  <c r="H39" i="6"/>
  <c r="H38" i="6"/>
  <c r="K38" i="6" s="1"/>
  <c r="N38" i="6" s="1"/>
  <c r="AZ45" i="6"/>
  <c r="M45" i="6" l="1"/>
  <c r="K39" i="6"/>
  <c r="N39" i="6" s="1"/>
  <c r="BB45" i="6"/>
  <c r="H17" i="6" l="1"/>
  <c r="K17" i="6" s="1"/>
  <c r="N17" i="6" s="1"/>
  <c r="O45" i="6"/>
  <c r="H18" i="6" l="1"/>
  <c r="K18" i="6" s="1"/>
  <c r="N18" i="6" s="1"/>
  <c r="S45" i="6"/>
  <c r="H19" i="6"/>
  <c r="K19" i="6" l="1"/>
  <c r="N19" i="6" s="1"/>
  <c r="W45" i="6"/>
  <c r="H20" i="6" l="1"/>
  <c r="AA45" i="6"/>
  <c r="AE45" i="6" l="1"/>
  <c r="H21" i="6"/>
  <c r="K21" i="6" s="1"/>
  <c r="N21" i="6" s="1"/>
  <c r="K20" i="6"/>
  <c r="N20" i="6" s="1"/>
  <c r="H22" i="6" l="1"/>
  <c r="AI45" i="6"/>
  <c r="AM45" i="6" l="1"/>
  <c r="H23" i="6"/>
  <c r="K23" i="6" s="1"/>
  <c r="N23" i="6" s="1"/>
  <c r="K22" i="6"/>
  <c r="N22" i="6" s="1"/>
  <c r="H24" i="6" l="1"/>
  <c r="AQ45" i="6"/>
  <c r="H25" i="6" l="1"/>
  <c r="K25" i="6" s="1"/>
  <c r="N25" i="6" s="1"/>
  <c r="AU45" i="6"/>
  <c r="K24" i="6"/>
  <c r="N24" i="6" s="1"/>
  <c r="AY45" i="6" l="1"/>
  <c r="H26" i="6"/>
  <c r="K26" i="6" s="1"/>
  <c r="N26" i="6" s="1"/>
  <c r="K45" i="6" l="1"/>
  <c r="H45" i="6"/>
  <c r="N45" i="6"/>
</calcChain>
</file>

<file path=xl/sharedStrings.xml><?xml version="1.0" encoding="utf-8"?>
<sst xmlns="http://schemas.openxmlformats.org/spreadsheetml/2006/main" count="211" uniqueCount="87">
  <si>
    <t>負担金償還シミュレーション</t>
    <rPh sb="0" eb="3">
      <t>フタンキン</t>
    </rPh>
    <rPh sb="3" eb="5">
      <t>ショウカン</t>
    </rPh>
    <phoneticPr fontId="2"/>
  </si>
  <si>
    <t>ケース1：国営事業の市町村負担　規定償還</t>
    <phoneticPr fontId="3"/>
  </si>
  <si>
    <t>事業</t>
    <rPh sb="0" eb="2">
      <t>ジギョウ</t>
    </rPh>
    <phoneticPr fontId="2"/>
  </si>
  <si>
    <t>国営事業</t>
    <rPh sb="0" eb="2">
      <t>コクエイ</t>
    </rPh>
    <rPh sb="2" eb="4">
      <t>ジギョウ</t>
    </rPh>
    <phoneticPr fontId="3"/>
  </si>
  <si>
    <t>一般会計地区</t>
    <rPh sb="0" eb="2">
      <t>イッパン</t>
    </rPh>
    <rPh sb="2" eb="4">
      <t>カイケイ</t>
    </rPh>
    <rPh sb="4" eb="6">
      <t>チク</t>
    </rPh>
    <phoneticPr fontId="3"/>
  </si>
  <si>
    <t>負担額（千円）</t>
    <rPh sb="0" eb="2">
      <t>フタン</t>
    </rPh>
    <rPh sb="2" eb="3">
      <t>ガク</t>
    </rPh>
    <rPh sb="4" eb="6">
      <t>センエン</t>
    </rPh>
    <phoneticPr fontId="2"/>
  </si>
  <si>
    <t>全額ガイドライン以内と想定（ガイドライン超過分は充当率75%、算入率0%）</t>
    <rPh sb="0" eb="2">
      <t>ゼンガク</t>
    </rPh>
    <rPh sb="8" eb="10">
      <t>イナイ</t>
    </rPh>
    <rPh sb="11" eb="13">
      <t>ソウテイ</t>
    </rPh>
    <rPh sb="20" eb="23">
      <t>チョウカブン</t>
    </rPh>
    <rPh sb="24" eb="26">
      <t>ジュウトウ</t>
    </rPh>
    <rPh sb="26" eb="27">
      <t>リツ</t>
    </rPh>
    <rPh sb="31" eb="33">
      <t>サンニュウ</t>
    </rPh>
    <rPh sb="33" eb="34">
      <t>リツ</t>
    </rPh>
    <phoneticPr fontId="3"/>
  </si>
  <si>
    <t>年　率</t>
    <rPh sb="0" eb="1">
      <t>トシ</t>
    </rPh>
    <rPh sb="2" eb="3">
      <t>リツ</t>
    </rPh>
    <phoneticPr fontId="2"/>
  </si>
  <si>
    <t>据置期間</t>
    <rPh sb="0" eb="2">
      <t>スエオキ</t>
    </rPh>
    <rPh sb="2" eb="4">
      <t>キカン</t>
    </rPh>
    <phoneticPr fontId="3"/>
  </si>
  <si>
    <t>負担回数</t>
    <rPh sb="0" eb="2">
      <t>フタン</t>
    </rPh>
    <rPh sb="2" eb="4">
      <t>カイスウ</t>
    </rPh>
    <phoneticPr fontId="2"/>
  </si>
  <si>
    <t>ダム以外、平成23年度以降</t>
    <rPh sb="2" eb="4">
      <t>イガイ</t>
    </rPh>
    <rPh sb="5" eb="7">
      <t>ヘイセイ</t>
    </rPh>
    <rPh sb="9" eb="11">
      <t>ネンド</t>
    </rPh>
    <rPh sb="11" eb="13">
      <t>イコウ</t>
    </rPh>
    <phoneticPr fontId="3"/>
  </si>
  <si>
    <t>（単位：千円）</t>
    <rPh sb="1" eb="3">
      <t>タンイ</t>
    </rPh>
    <rPh sb="4" eb="6">
      <t>センエン</t>
    </rPh>
    <phoneticPr fontId="3"/>
  </si>
  <si>
    <t>負担年月</t>
    <rPh sb="0" eb="2">
      <t>フタン</t>
    </rPh>
    <rPh sb="2" eb="4">
      <t>ネンゲツ</t>
    </rPh>
    <phoneticPr fontId="2"/>
  </si>
  <si>
    <t>負担
回数</t>
    <rPh sb="0" eb="2">
      <t>フタン</t>
    </rPh>
    <rPh sb="3" eb="5">
      <t>カイスウ</t>
    </rPh>
    <phoneticPr fontId="2"/>
  </si>
  <si>
    <t>負担額
①</t>
    <rPh sb="0" eb="2">
      <t>フタン</t>
    </rPh>
    <rPh sb="2" eb="3">
      <t>ガク</t>
    </rPh>
    <phoneticPr fontId="2"/>
  </si>
  <si>
    <t>負担金残高</t>
    <rPh sb="0" eb="2">
      <t>フタン</t>
    </rPh>
    <rPh sb="2" eb="3">
      <t>キン</t>
    </rPh>
    <rPh sb="3" eb="5">
      <t>ザンダカ</t>
    </rPh>
    <phoneticPr fontId="2"/>
  </si>
  <si>
    <t>実質負担額
①-②</t>
    <rPh sb="0" eb="1">
      <t>ジツ</t>
    </rPh>
    <rPh sb="1" eb="2">
      <t>シツ</t>
    </rPh>
    <rPh sb="2" eb="5">
      <t>フタンガク</t>
    </rPh>
    <phoneticPr fontId="2"/>
  </si>
  <si>
    <t>うち元金</t>
    <rPh sb="2" eb="4">
      <t>ガンキン</t>
    </rPh>
    <phoneticPr fontId="2"/>
  </si>
  <si>
    <t>うち利息</t>
    <rPh sb="2" eb="4">
      <t>リソク</t>
    </rPh>
    <phoneticPr fontId="2"/>
  </si>
  <si>
    <t>事業実施期間（10年間）</t>
    <rPh sb="0" eb="2">
      <t>ジギョウ</t>
    </rPh>
    <rPh sb="2" eb="4">
      <t>ジッシ</t>
    </rPh>
    <rPh sb="4" eb="6">
      <t>キカン</t>
    </rPh>
    <rPh sb="9" eb="10">
      <t>ネン</t>
    </rPh>
    <rPh sb="10" eb="11">
      <t>アイダ</t>
    </rPh>
    <phoneticPr fontId="3"/>
  </si>
  <si>
    <t>事業1年目</t>
    <rPh sb="0" eb="2">
      <t>ジギョウ</t>
    </rPh>
    <rPh sb="3" eb="5">
      <t>ネンメ</t>
    </rPh>
    <phoneticPr fontId="3"/>
  </si>
  <si>
    <t>事業2年目</t>
    <rPh sb="0" eb="2">
      <t>ジギョウ</t>
    </rPh>
    <rPh sb="3" eb="5">
      <t>ネンメ</t>
    </rPh>
    <phoneticPr fontId="3"/>
  </si>
  <si>
    <t>事業3年目</t>
    <rPh sb="0" eb="2">
      <t>ジギョウ</t>
    </rPh>
    <rPh sb="3" eb="5">
      <t>ネンメ</t>
    </rPh>
    <phoneticPr fontId="3"/>
  </si>
  <si>
    <t>事業4年目</t>
    <rPh sb="0" eb="2">
      <t>ジギョウ</t>
    </rPh>
    <rPh sb="3" eb="5">
      <t>ネンメ</t>
    </rPh>
    <phoneticPr fontId="3"/>
  </si>
  <si>
    <t>事業5年目</t>
    <rPh sb="0" eb="2">
      <t>ジギョウ</t>
    </rPh>
    <rPh sb="3" eb="5">
      <t>ネンメ</t>
    </rPh>
    <phoneticPr fontId="3"/>
  </si>
  <si>
    <t>事業6年目</t>
    <rPh sb="0" eb="2">
      <t>ジギョウ</t>
    </rPh>
    <rPh sb="3" eb="5">
      <t>ネンメ</t>
    </rPh>
    <phoneticPr fontId="3"/>
  </si>
  <si>
    <t>事業7年目</t>
    <rPh sb="0" eb="2">
      <t>ジギョウ</t>
    </rPh>
    <rPh sb="3" eb="5">
      <t>ネンメ</t>
    </rPh>
    <phoneticPr fontId="3"/>
  </si>
  <si>
    <t>事業8年目</t>
    <rPh sb="0" eb="2">
      <t>ジギョウ</t>
    </rPh>
    <rPh sb="3" eb="5">
      <t>ネンメ</t>
    </rPh>
    <phoneticPr fontId="3"/>
  </si>
  <si>
    <t>事業9年目</t>
    <rPh sb="0" eb="2">
      <t>ジギョウ</t>
    </rPh>
    <rPh sb="3" eb="5">
      <t>ネンメ</t>
    </rPh>
    <phoneticPr fontId="3"/>
  </si>
  <si>
    <t>事業10年目</t>
    <rPh sb="0" eb="2">
      <t>ジギョウ</t>
    </rPh>
    <rPh sb="4" eb="6">
      <t>ネンメ</t>
    </rPh>
    <phoneticPr fontId="3"/>
  </si>
  <si>
    <t>事業完了後</t>
    <rPh sb="0" eb="2">
      <t>ジギョウ</t>
    </rPh>
    <rPh sb="2" eb="4">
      <t>カンリョウ</t>
    </rPh>
    <rPh sb="4" eb="5">
      <t>ゴ</t>
    </rPh>
    <phoneticPr fontId="3"/>
  </si>
  <si>
    <t>完了1年目</t>
    <rPh sb="0" eb="2">
      <t>カンリョウ</t>
    </rPh>
    <rPh sb="3" eb="5">
      <t>ネンメ</t>
    </rPh>
    <phoneticPr fontId="3"/>
  </si>
  <si>
    <t>完了2年目</t>
    <rPh sb="0" eb="2">
      <t>カンリョウ</t>
    </rPh>
    <rPh sb="3" eb="5">
      <t>ネンメ</t>
    </rPh>
    <phoneticPr fontId="3"/>
  </si>
  <si>
    <t>完了3年目</t>
    <rPh sb="0" eb="2">
      <t>カンリョウ</t>
    </rPh>
    <rPh sb="3" eb="5">
      <t>ネンメ</t>
    </rPh>
    <phoneticPr fontId="3"/>
  </si>
  <si>
    <t>完了4年目</t>
    <rPh sb="0" eb="2">
      <t>カンリョウ</t>
    </rPh>
    <rPh sb="3" eb="5">
      <t>ネンメ</t>
    </rPh>
    <phoneticPr fontId="3"/>
  </si>
  <si>
    <t>完了5年目</t>
    <rPh sb="0" eb="2">
      <t>カンリョウ</t>
    </rPh>
    <rPh sb="3" eb="5">
      <t>ネンメ</t>
    </rPh>
    <phoneticPr fontId="3"/>
  </si>
  <si>
    <t>完了6年目</t>
    <rPh sb="0" eb="2">
      <t>カンリョウ</t>
    </rPh>
    <rPh sb="3" eb="5">
      <t>ネンメ</t>
    </rPh>
    <phoneticPr fontId="3"/>
  </si>
  <si>
    <t>完了7年目</t>
    <rPh sb="0" eb="2">
      <t>カンリョウ</t>
    </rPh>
    <rPh sb="3" eb="5">
      <t>ネンメ</t>
    </rPh>
    <phoneticPr fontId="3"/>
  </si>
  <si>
    <t>完了8年目</t>
    <rPh sb="0" eb="2">
      <t>カンリョウ</t>
    </rPh>
    <rPh sb="3" eb="5">
      <t>ネンメ</t>
    </rPh>
    <phoneticPr fontId="3"/>
  </si>
  <si>
    <t>完了9年目</t>
    <rPh sb="0" eb="2">
      <t>カンリョウ</t>
    </rPh>
    <rPh sb="3" eb="5">
      <t>ネンメ</t>
    </rPh>
    <phoneticPr fontId="3"/>
  </si>
  <si>
    <t>完了10年目</t>
    <rPh sb="0" eb="2">
      <t>カンリョウ</t>
    </rPh>
    <rPh sb="4" eb="6">
      <t>ネンメ</t>
    </rPh>
    <phoneticPr fontId="3"/>
  </si>
  <si>
    <t>完了11年目</t>
    <rPh sb="0" eb="2">
      <t>カンリョウ</t>
    </rPh>
    <rPh sb="4" eb="6">
      <t>ネンメ</t>
    </rPh>
    <phoneticPr fontId="3"/>
  </si>
  <si>
    <t>完了12年目</t>
    <rPh sb="0" eb="2">
      <t>カンリョウ</t>
    </rPh>
    <rPh sb="4" eb="6">
      <t>ネンメ</t>
    </rPh>
    <phoneticPr fontId="3"/>
  </si>
  <si>
    <t>完了13年目</t>
    <rPh sb="0" eb="2">
      <t>カンリョウ</t>
    </rPh>
    <rPh sb="4" eb="6">
      <t>ネンメ</t>
    </rPh>
    <phoneticPr fontId="3"/>
  </si>
  <si>
    <t>完了14年目</t>
    <rPh sb="0" eb="2">
      <t>カンリョウ</t>
    </rPh>
    <rPh sb="4" eb="6">
      <t>ネンメ</t>
    </rPh>
    <phoneticPr fontId="3"/>
  </si>
  <si>
    <t>完了15年目</t>
    <rPh sb="0" eb="2">
      <t>カンリョウ</t>
    </rPh>
    <rPh sb="4" eb="6">
      <t>ネンメ</t>
    </rPh>
    <phoneticPr fontId="3"/>
  </si>
  <si>
    <t>完了16年目</t>
    <rPh sb="0" eb="2">
      <t>カンリョウ</t>
    </rPh>
    <rPh sb="4" eb="6">
      <t>ネンメ</t>
    </rPh>
    <phoneticPr fontId="3"/>
  </si>
  <si>
    <t>完了17年目</t>
    <rPh sb="0" eb="2">
      <t>カンリョウ</t>
    </rPh>
    <rPh sb="4" eb="6">
      <t>ネンメ</t>
    </rPh>
    <phoneticPr fontId="3"/>
  </si>
  <si>
    <t>完了18年目</t>
    <rPh sb="0" eb="2">
      <t>カンリョウ</t>
    </rPh>
    <rPh sb="4" eb="6">
      <t>ネンメ</t>
    </rPh>
    <phoneticPr fontId="3"/>
  </si>
  <si>
    <t>合計</t>
    <rPh sb="0" eb="2">
      <t>ゴウケイ</t>
    </rPh>
    <phoneticPr fontId="2"/>
  </si>
  <si>
    <t>負担金償還シミュレーション</t>
    <phoneticPr fontId="2"/>
  </si>
  <si>
    <t>ケース２：国営事業の市町村負担　一括（起債）償還</t>
    <phoneticPr fontId="3"/>
  </si>
  <si>
    <t>起債充当率</t>
    <rPh sb="0" eb="2">
      <t>キサイ</t>
    </rPh>
    <rPh sb="2" eb="4">
      <t>ジュウトウ</t>
    </rPh>
    <rPh sb="4" eb="5">
      <t>リツ</t>
    </rPh>
    <phoneticPr fontId="2"/>
  </si>
  <si>
    <t>地方債借入
条件（想定）</t>
    <rPh sb="0" eb="3">
      <t>チホウサイ</t>
    </rPh>
    <rPh sb="3" eb="5">
      <t>カリイレ</t>
    </rPh>
    <rPh sb="6" eb="8">
      <t>ジョウケン</t>
    </rPh>
    <rPh sb="9" eb="11">
      <t>ソウテイ</t>
    </rPh>
    <phoneticPr fontId="3"/>
  </si>
  <si>
    <t>支払額</t>
    <rPh sb="0" eb="3">
      <t>シハライガク</t>
    </rPh>
    <phoneticPr fontId="3"/>
  </si>
  <si>
    <t>地方債
残高</t>
    <rPh sb="0" eb="3">
      <t>チホウサイ</t>
    </rPh>
    <rPh sb="4" eb="6">
      <t>ザンダカ</t>
    </rPh>
    <phoneticPr fontId="3"/>
  </si>
  <si>
    <t>実質
負担額
⑤=③-④</t>
    <rPh sb="3" eb="5">
      <t>フタン</t>
    </rPh>
    <rPh sb="5" eb="6">
      <t>ガク</t>
    </rPh>
    <phoneticPr fontId="3"/>
  </si>
  <si>
    <t xml:space="preserve">負担額
</t>
    <rPh sb="0" eb="2">
      <t>フタン</t>
    </rPh>
    <rPh sb="2" eb="3">
      <t>ガク</t>
    </rPh>
    <phoneticPr fontId="2"/>
  </si>
  <si>
    <t>地方債償還額②</t>
    <rPh sb="0" eb="3">
      <t>チホウサイ</t>
    </rPh>
    <rPh sb="3" eb="5">
      <t>ショウカン</t>
    </rPh>
    <rPh sb="5" eb="6">
      <t>ガク</t>
    </rPh>
    <phoneticPr fontId="3"/>
  </si>
  <si>
    <t>総支払額
③=①＋②</t>
    <rPh sb="0" eb="1">
      <t>ソウ</t>
    </rPh>
    <rPh sb="1" eb="3">
      <t>シハライ</t>
    </rPh>
    <rPh sb="3" eb="4">
      <t>ガク</t>
    </rPh>
    <phoneticPr fontId="3"/>
  </si>
  <si>
    <t>一般財源①</t>
    <rPh sb="0" eb="2">
      <t>イッパン</t>
    </rPh>
    <rPh sb="2" eb="4">
      <t>ザイゲン</t>
    </rPh>
    <phoneticPr fontId="3"/>
  </si>
  <si>
    <t>起債</t>
    <phoneticPr fontId="3"/>
  </si>
  <si>
    <t>完了19年目</t>
    <rPh sb="0" eb="2">
      <t>カンリョウ</t>
    </rPh>
    <rPh sb="4" eb="6">
      <t>ネンメ</t>
    </rPh>
    <phoneticPr fontId="3"/>
  </si>
  <si>
    <t>完了20年目</t>
    <rPh sb="0" eb="2">
      <t>カンリョウ</t>
    </rPh>
    <rPh sb="4" eb="6">
      <t>ネンメ</t>
    </rPh>
    <phoneticPr fontId="3"/>
  </si>
  <si>
    <t>完了21年目</t>
    <rPh sb="0" eb="2">
      <t>カンリョウ</t>
    </rPh>
    <rPh sb="4" eb="6">
      <t>ネンメ</t>
    </rPh>
    <phoneticPr fontId="3"/>
  </si>
  <si>
    <t>ケース３：直入方式（国営事業の県負担、又は県営事業の県・市負担）</t>
    <rPh sb="5" eb="7">
      <t>チョクニュウ</t>
    </rPh>
    <rPh sb="7" eb="9">
      <t>ホウシキ</t>
    </rPh>
    <rPh sb="15" eb="16">
      <t>ケン</t>
    </rPh>
    <rPh sb="16" eb="18">
      <t>フタン</t>
    </rPh>
    <rPh sb="19" eb="20">
      <t>マタ</t>
    </rPh>
    <rPh sb="21" eb="23">
      <t>ケンエイ</t>
    </rPh>
    <rPh sb="23" eb="25">
      <t>ジギョウ</t>
    </rPh>
    <rPh sb="26" eb="27">
      <t>ケン</t>
    </rPh>
    <rPh sb="28" eb="29">
      <t>シ</t>
    </rPh>
    <rPh sb="29" eb="31">
      <t>フタン</t>
    </rPh>
    <phoneticPr fontId="3"/>
  </si>
  <si>
    <t>実質
負担額
⑤=③-④</t>
    <rPh sb="0" eb="2">
      <t>ジッシツ</t>
    </rPh>
    <rPh sb="3" eb="5">
      <t>フタン</t>
    </rPh>
    <rPh sb="5" eb="6">
      <t>ガク</t>
    </rPh>
    <phoneticPr fontId="3"/>
  </si>
  <si>
    <t>起債年ごとの地方債償還額・地財措置額</t>
    <rPh sb="0" eb="2">
      <t>キサイ</t>
    </rPh>
    <rPh sb="2" eb="3">
      <t>ネン</t>
    </rPh>
    <rPh sb="6" eb="9">
      <t>チホウサイ</t>
    </rPh>
    <rPh sb="9" eb="11">
      <t>ショウカン</t>
    </rPh>
    <rPh sb="11" eb="12">
      <t>ガク</t>
    </rPh>
    <rPh sb="13" eb="15">
      <t>チザイ</t>
    </rPh>
    <rPh sb="15" eb="17">
      <t>ソチ</t>
    </rPh>
    <rPh sb="17" eb="18">
      <t>ガク</t>
    </rPh>
    <phoneticPr fontId="3"/>
  </si>
  <si>
    <t>償還額
②</t>
    <rPh sb="0" eb="3">
      <t>ショウカンガク</t>
    </rPh>
    <phoneticPr fontId="3"/>
  </si>
  <si>
    <t>地財措置
交付額</t>
    <rPh sb="0" eb="2">
      <t>チザイ</t>
    </rPh>
    <rPh sb="2" eb="4">
      <t>ソチ</t>
    </rPh>
    <rPh sb="5" eb="8">
      <t>コウフガク</t>
    </rPh>
    <phoneticPr fontId="3"/>
  </si>
  <si>
    <t>一般財源①</t>
    <rPh sb="0" eb="4">
      <t>イッパンザイゲン</t>
    </rPh>
    <phoneticPr fontId="3"/>
  </si>
  <si>
    <t>うち元金</t>
    <rPh sb="2" eb="4">
      <t>ガンキン</t>
    </rPh>
    <phoneticPr fontId="3"/>
  </si>
  <si>
    <t>うち利息</t>
    <rPh sb="2" eb="4">
      <t>リソク</t>
    </rPh>
    <phoneticPr fontId="3"/>
  </si>
  <si>
    <t>地財措置
交付額
④</t>
    <rPh sb="0" eb="2">
      <t>チザイ</t>
    </rPh>
    <rPh sb="2" eb="4">
      <t>ソチ</t>
    </rPh>
    <rPh sb="5" eb="8">
      <t>コウフガク</t>
    </rPh>
    <phoneticPr fontId="3"/>
  </si>
  <si>
    <t>元利償還金に対する交付税算入率</t>
    <rPh sb="0" eb="2">
      <t>ガンリ</t>
    </rPh>
    <rPh sb="2" eb="5">
      <t>ショウカンキン</t>
    </rPh>
    <rPh sb="6" eb="7">
      <t>タイ</t>
    </rPh>
    <rPh sb="9" eb="11">
      <t>コウフ</t>
    </rPh>
    <rPh sb="11" eb="12">
      <t>ゼイ</t>
    </rPh>
    <rPh sb="12" eb="14">
      <t>サンニュウ</t>
    </rPh>
    <rPh sb="14" eb="15">
      <t>リツ</t>
    </rPh>
    <phoneticPr fontId="3"/>
  </si>
  <si>
    <t>←地方公共団体金融機構HPより(据置期間2～3年以内・償還期間19～20年以内の値）（R8.5時点）</t>
    <rPh sb="16" eb="18">
      <t>スエオキ</t>
    </rPh>
    <rPh sb="23" eb="24">
      <t>ネン</t>
    </rPh>
    <rPh sb="24" eb="26">
      <t>イナイ</t>
    </rPh>
    <rPh sb="36" eb="37">
      <t>ネン</t>
    </rPh>
    <rPh sb="37" eb="39">
      <t>イナイ</t>
    </rPh>
    <rPh sb="40" eb="41">
      <t>アタイ</t>
    </rPh>
    <rPh sb="47" eb="49">
      <t>ジテン</t>
    </rPh>
    <phoneticPr fontId="3"/>
  </si>
  <si>
    <t>←※地方負担額に対する交付税算入率は20％</t>
    <rPh sb="2" eb="4">
      <t>チホウ</t>
    </rPh>
    <rPh sb="4" eb="6">
      <t>フタン</t>
    </rPh>
    <rPh sb="6" eb="7">
      <t>ガク</t>
    </rPh>
    <rPh sb="8" eb="9">
      <t>タイ</t>
    </rPh>
    <rPh sb="11" eb="14">
      <t>コウフゼイ</t>
    </rPh>
    <rPh sb="14" eb="17">
      <t>サンニュウリツ</t>
    </rPh>
    <phoneticPr fontId="3"/>
  </si>
  <si>
    <t>←全額ガイドライン以内と想定（ガイドライン超過分は充当率75%、算入率0%）</t>
    <rPh sb="1" eb="3">
      <t>ゼンガク</t>
    </rPh>
    <rPh sb="9" eb="11">
      <t>イナイ</t>
    </rPh>
    <rPh sb="12" eb="14">
      <t>ソウテイ</t>
    </rPh>
    <rPh sb="21" eb="24">
      <t>チョウカブン</t>
    </rPh>
    <rPh sb="25" eb="27">
      <t>ジュウトウ</t>
    </rPh>
    <rPh sb="27" eb="28">
      <t>リツ</t>
    </rPh>
    <rPh sb="32" eb="34">
      <t>サンニュウ</t>
    </rPh>
    <rPh sb="34" eb="35">
      <t>リツ</t>
    </rPh>
    <phoneticPr fontId="3"/>
  </si>
  <si>
    <t>←ダム以外地区、平成23年度以降　（理論算入率：20%）</t>
    <rPh sb="3" eb="5">
      <t>イガイ</t>
    </rPh>
    <rPh sb="5" eb="7">
      <t>チク</t>
    </rPh>
    <rPh sb="8" eb="10">
      <t>ヘイセイ</t>
    </rPh>
    <rPh sb="12" eb="14">
      <t>ネンド</t>
    </rPh>
    <rPh sb="14" eb="16">
      <t>イコウ</t>
    </rPh>
    <rPh sb="18" eb="20">
      <t>リロン</t>
    </rPh>
    <rPh sb="21" eb="23">
      <t>サンニュウ</t>
    </rPh>
    <rPh sb="24" eb="25">
      <t>リツ</t>
    </rPh>
    <phoneticPr fontId="3"/>
  </si>
  <si>
    <t>←財源対策債償還費の都道府県分の政府資金及び（２）その他の市町村の政府資金の令和元年度以降同意等債の理論償還に倣い、20年償還（うち３年据置）と仮定</t>
    <rPh sb="1" eb="3">
      <t>ザイゲン</t>
    </rPh>
    <rPh sb="3" eb="5">
      <t>タイサク</t>
    </rPh>
    <rPh sb="5" eb="6">
      <t>サイ</t>
    </rPh>
    <rPh sb="6" eb="8">
      <t>ショウカン</t>
    </rPh>
    <rPh sb="8" eb="9">
      <t>ヒ</t>
    </rPh>
    <rPh sb="10" eb="14">
      <t>トドウフケン</t>
    </rPh>
    <rPh sb="14" eb="15">
      <t>ブン</t>
    </rPh>
    <rPh sb="16" eb="18">
      <t>セイフ</t>
    </rPh>
    <rPh sb="18" eb="20">
      <t>シキン</t>
    </rPh>
    <rPh sb="20" eb="21">
      <t>オヨ</t>
    </rPh>
    <rPh sb="27" eb="28">
      <t>タ</t>
    </rPh>
    <rPh sb="29" eb="32">
      <t>シチョウソン</t>
    </rPh>
    <rPh sb="33" eb="35">
      <t>セイフ</t>
    </rPh>
    <rPh sb="35" eb="37">
      <t>シキン</t>
    </rPh>
    <rPh sb="38" eb="40">
      <t>レイワ</t>
    </rPh>
    <rPh sb="40" eb="42">
      <t>ガンネン</t>
    </rPh>
    <rPh sb="42" eb="43">
      <t>ド</t>
    </rPh>
    <rPh sb="43" eb="45">
      <t>イコウ</t>
    </rPh>
    <rPh sb="45" eb="47">
      <t>ドウイ</t>
    </rPh>
    <rPh sb="47" eb="48">
      <t>トウ</t>
    </rPh>
    <rPh sb="48" eb="49">
      <t>サイ</t>
    </rPh>
    <rPh sb="50" eb="52">
      <t>リロン</t>
    </rPh>
    <rPh sb="52" eb="54">
      <t>ショウカン</t>
    </rPh>
    <rPh sb="55" eb="56">
      <t>ナラ</t>
    </rPh>
    <rPh sb="60" eb="61">
      <t>ネン</t>
    </rPh>
    <rPh sb="61" eb="63">
      <t>ショウカン</t>
    </rPh>
    <rPh sb="67" eb="68">
      <t>ネン</t>
    </rPh>
    <rPh sb="68" eb="70">
      <t>スエオキ</t>
    </rPh>
    <rPh sb="72" eb="74">
      <t>カテイ</t>
    </rPh>
    <phoneticPr fontId="3"/>
  </si>
  <si>
    <t>←財源対策債償還費の（２）その他の市町村の政府資金の令和元年度以降同意等債の理論償還に倣い、20年償還（うち３年据置）と仮定</t>
    <rPh sb="1" eb="3">
      <t>ザイゲン</t>
    </rPh>
    <rPh sb="3" eb="5">
      <t>タイサク</t>
    </rPh>
    <rPh sb="5" eb="6">
      <t>サイ</t>
    </rPh>
    <rPh sb="6" eb="8">
      <t>ショウカン</t>
    </rPh>
    <rPh sb="8" eb="9">
      <t>ヒ</t>
    </rPh>
    <rPh sb="15" eb="16">
      <t>タ</t>
    </rPh>
    <rPh sb="17" eb="20">
      <t>シチョウソン</t>
    </rPh>
    <rPh sb="21" eb="23">
      <t>セイフ</t>
    </rPh>
    <rPh sb="23" eb="25">
      <t>シキン</t>
    </rPh>
    <rPh sb="26" eb="28">
      <t>レイワ</t>
    </rPh>
    <rPh sb="28" eb="30">
      <t>ガンネン</t>
    </rPh>
    <rPh sb="30" eb="31">
      <t>ド</t>
    </rPh>
    <rPh sb="31" eb="33">
      <t>イコウ</t>
    </rPh>
    <rPh sb="33" eb="35">
      <t>ドウイ</t>
    </rPh>
    <rPh sb="35" eb="36">
      <t>トウ</t>
    </rPh>
    <rPh sb="36" eb="37">
      <t>サイ</t>
    </rPh>
    <rPh sb="38" eb="40">
      <t>リロン</t>
    </rPh>
    <rPh sb="40" eb="42">
      <t>ショウカン</t>
    </rPh>
    <rPh sb="43" eb="44">
      <t>ナラ</t>
    </rPh>
    <rPh sb="48" eb="49">
      <t>ネン</t>
    </rPh>
    <rPh sb="49" eb="51">
      <t>ショウカン</t>
    </rPh>
    <rPh sb="55" eb="56">
      <t>ネン</t>
    </rPh>
    <rPh sb="56" eb="58">
      <t>スエオキ</t>
    </rPh>
    <rPh sb="60" eb="62">
      <t>カテイ</t>
    </rPh>
    <phoneticPr fontId="3"/>
  </si>
  <si>
    <t>元利償還金に対する交付税算入率</t>
    <rPh sb="0" eb="2">
      <t>ガンリ</t>
    </rPh>
    <rPh sb="2" eb="5">
      <t>ショウカンキン</t>
    </rPh>
    <rPh sb="6" eb="7">
      <t>タイ</t>
    </rPh>
    <phoneticPr fontId="3"/>
  </si>
  <si>
    <t>地方負担額に対する交付税措置率</t>
    <rPh sb="0" eb="2">
      <t>チホウ</t>
    </rPh>
    <rPh sb="2" eb="4">
      <t>フタン</t>
    </rPh>
    <rPh sb="4" eb="5">
      <t>ガク</t>
    </rPh>
    <rPh sb="6" eb="7">
      <t>タイ</t>
    </rPh>
    <rPh sb="9" eb="12">
      <t>コウフゼイ</t>
    </rPh>
    <rPh sb="12" eb="14">
      <t>ソチ</t>
    </rPh>
    <rPh sb="14" eb="15">
      <t>リツ</t>
    </rPh>
    <phoneticPr fontId="2"/>
  </si>
  <si>
    <t>←地方公共団体金融機構HPより(据置期間2～3年以内・償還期間19～20年以内の値）（R8.5時点）</t>
    <phoneticPr fontId="3"/>
  </si>
  <si>
    <t>R7年度より1.10％(H28年度より国債利率（農水大臣設定）)</t>
    <rPh sb="2" eb="4">
      <t>ネンド</t>
    </rPh>
    <rPh sb="15" eb="17">
      <t>ネンド</t>
    </rPh>
    <rPh sb="19" eb="21">
      <t>コクサイ</t>
    </rPh>
    <rPh sb="21" eb="23">
      <t>リリツ</t>
    </rPh>
    <rPh sb="24" eb="26">
      <t>ノウスイ</t>
    </rPh>
    <rPh sb="26" eb="28">
      <t>ダイジン</t>
    </rPh>
    <rPh sb="28" eb="30">
      <t>セッテイ</t>
    </rPh>
    <phoneticPr fontId="3"/>
  </si>
  <si>
    <t>地財措置
交付額
②</t>
    <rPh sb="0" eb="2">
      <t>チザイ</t>
    </rPh>
    <rPh sb="2" eb="4">
      <t>ソチ</t>
    </rPh>
    <rPh sb="5" eb="7">
      <t>コウフ</t>
    </rPh>
    <phoneticPr fontId="2"/>
  </si>
  <si>
    <t>完了22年目</t>
    <rPh sb="0" eb="2">
      <t>カンリョウ</t>
    </rPh>
    <rPh sb="4" eb="6">
      <t>ネンメ</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</si>
</sst>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00_);[Red]\(0.00\)"/>
    <numFmt numFmtId="177" formatCode="yyyy&quot;年&quot;m&quot;月&quot;;@"/>
    <numFmt numFmtId="178" formatCode="General&quot;年&quot;"/>
    <numFmt numFmtId="179" formatCode="General&quot;年目&quot;"/>
    <numFmt numFmtId="180" formatCode="#,##0_ ;[Red]\-#,##0\ "/>
    <numFmt numFmtId="181" formatCode="#,##0_);[Red]\(#,##0\)"/>
    <numFmt numFmtId="182" formatCode="#,##0_ "/>
  </numFmts>
  <fonts count="13" x14ac:knownFonts="1">
    <font>
      <sz val="11"/>
      <color theme="1"/>
      <name val="ＭＳ Ｐゴシック"/>
      <family val="2"/>
      <charset val="128"/>
      <scheme val="minor"/>
    </font>
    <font>
      <sz val="11"/>
      <name val="ＭＳ 明朝"/>
      <family val="1"/>
      <charset val="128"/>
    </font>
    <font>
      <sz val="6"/>
      <name val="ＭＳ 明朝"/>
      <family val="1"/>
      <charset val="128"/>
    </font>
    <font>
      <sz val="6"/>
      <name val="ＭＳ Ｐゴシック"/>
      <family val="2"/>
      <charset val="128"/>
      <scheme val="minor"/>
    </font>
    <font>
      <sz val="11"/>
      <color theme="1"/>
      <name val="ＭＳ Ｐゴシック"/>
      <family val="2"/>
      <charset val="128"/>
      <scheme val="minor"/>
    </font>
    <font>
      <b/>
      <sz val="12"/>
      <color theme="1"/>
      <name val="ＭＳ Ｐゴシック"/>
      <family val="3"/>
      <charset val="128"/>
      <scheme val="major"/>
    </font>
    <font>
      <sz val="11"/>
      <color theme="1"/>
      <name val="ＭＳ Ｐゴシック"/>
      <family val="3"/>
      <charset val="128"/>
      <scheme val="major"/>
    </font>
    <font>
      <sz val="10"/>
      <color theme="1"/>
      <name val="ＭＳ Ｐゴシック"/>
      <family val="3"/>
      <charset val="128"/>
      <scheme val="major"/>
    </font>
    <font>
      <sz val="12"/>
      <color theme="1"/>
      <name val="ＭＳ Ｐゴシック"/>
      <family val="3"/>
      <charset val="128"/>
      <scheme val="major"/>
    </font>
    <font>
      <b/>
      <sz val="16"/>
      <color theme="1"/>
      <name val="ＭＳ Ｐゴシック"/>
      <family val="3"/>
      <charset val="128"/>
      <scheme val="major"/>
    </font>
    <font>
      <b/>
      <sz val="11"/>
      <color theme="1"/>
      <name val="ＭＳ Ｐゴシック"/>
      <family val="3"/>
      <charset val="128"/>
      <scheme val="major"/>
    </font>
    <font>
      <sz val="12"/>
      <name val="ＭＳ Ｐゴシック"/>
      <family val="3"/>
      <charset val="128"/>
      <scheme val="major"/>
    </font>
    <font>
      <sz val="11"/>
      <name val="ＭＳ Ｐゴシック"/>
      <family val="3"/>
      <charset val="128"/>
      <scheme val="maj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thin">
        <color indexed="64"/>
      </left>
      <right/>
      <top style="double">
        <color indexed="64"/>
      </top>
      <bottom style="thin">
        <color indexed="64"/>
      </bottom>
      <diagonal/>
    </border>
    <border>
      <left/>
      <right style="thin">
        <color indexed="64"/>
      </right>
      <top/>
      <bottom style="thin">
        <color indexed="64"/>
      </bottom>
      <diagonal/>
    </border>
    <border>
      <left/>
      <right style="thin">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style="thin">
        <color indexed="64"/>
      </bottom>
      <diagonal/>
    </border>
    <border>
      <left style="double">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top/>
      <bottom/>
      <diagonal/>
    </border>
    <border>
      <left/>
      <right style="thin">
        <color indexed="64"/>
      </right>
      <top/>
      <bottom/>
      <diagonal/>
    </border>
    <border>
      <left/>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292">
    <xf numFmtId="0" fontId="0" fillId="0" borderId="0" xfId="0">
      <alignment vertical="center"/>
    </xf>
    <xf numFmtId="0" fontId="6" fillId="0" borderId="0" xfId="0" applyFont="1">
      <alignment vertical="center"/>
    </xf>
    <xf numFmtId="0" fontId="7" fillId="0" borderId="0" xfId="0" applyFont="1">
      <alignment vertical="center"/>
    </xf>
    <xf numFmtId="0" fontId="7" fillId="0" borderId="0" xfId="0" applyFont="1" applyAlignment="1">
      <alignment vertical="center" shrinkToFit="1"/>
    </xf>
    <xf numFmtId="0" fontId="8" fillId="2" borderId="3" xfId="0" applyFont="1" applyFill="1" applyBorder="1" applyAlignment="1">
      <alignment vertical="center" shrinkToFit="1"/>
    </xf>
    <xf numFmtId="0" fontId="8" fillId="2" borderId="4" xfId="0" applyFont="1" applyFill="1" applyBorder="1" applyAlignment="1">
      <alignment vertical="center" shrinkToFit="1"/>
    </xf>
    <xf numFmtId="0" fontId="6" fillId="2" borderId="3" xfId="0" applyFont="1" applyFill="1" applyBorder="1">
      <alignment vertical="center"/>
    </xf>
    <xf numFmtId="0" fontId="6" fillId="2" borderId="4" xfId="0" applyFont="1" applyFill="1" applyBorder="1">
      <alignment vertical="center"/>
    </xf>
    <xf numFmtId="0" fontId="8" fillId="0" borderId="0" xfId="0" applyFont="1" applyAlignment="1">
      <alignment horizontal="left" indent="1"/>
    </xf>
    <xf numFmtId="182" fontId="8" fillId="0" borderId="1" xfId="1" applyNumberFormat="1" applyFont="1" applyBorder="1">
      <alignment vertical="center"/>
    </xf>
    <xf numFmtId="0" fontId="9" fillId="0" borderId="0" xfId="1" applyFont="1" applyAlignment="1">
      <alignment vertical="center" wrapText="1"/>
    </xf>
    <xf numFmtId="0" fontId="9" fillId="0" borderId="0" xfId="1" applyFont="1">
      <alignment vertical="center"/>
    </xf>
    <xf numFmtId="0" fontId="6" fillId="0" borderId="0" xfId="1" applyFont="1">
      <alignment vertical="center"/>
    </xf>
    <xf numFmtId="0" fontId="7" fillId="0" borderId="0" xfId="1" applyFont="1" applyAlignment="1">
      <alignment vertical="center" shrinkToFit="1"/>
    </xf>
    <xf numFmtId="180" fontId="8" fillId="0" borderId="1" xfId="2" applyNumberFormat="1" applyFont="1" applyBorder="1" applyAlignment="1">
      <alignment vertical="center" shrinkToFit="1"/>
    </xf>
    <xf numFmtId="38" fontId="8" fillId="0" borderId="0" xfId="2" applyFont="1" applyBorder="1" applyAlignment="1">
      <alignment vertical="center"/>
    </xf>
    <xf numFmtId="6" fontId="8" fillId="0" borderId="0" xfId="2" applyNumberFormat="1" applyFont="1" applyBorder="1" applyAlignment="1">
      <alignment horizontal="center" vertical="center"/>
    </xf>
    <xf numFmtId="6" fontId="7" fillId="0" borderId="0" xfId="2" applyNumberFormat="1" applyFont="1" applyBorder="1" applyAlignment="1">
      <alignment horizontal="center" vertical="center" shrinkToFit="1"/>
    </xf>
    <xf numFmtId="38" fontId="7" fillId="0" borderId="0" xfId="2" applyFont="1" applyBorder="1" applyAlignment="1">
      <alignment vertical="center" shrinkToFit="1"/>
    </xf>
    <xf numFmtId="9" fontId="8" fillId="0" borderId="1" xfId="5" applyFont="1" applyBorder="1" applyAlignment="1">
      <alignment vertical="center"/>
    </xf>
    <xf numFmtId="9" fontId="8" fillId="0" borderId="0" xfId="5" applyFont="1" applyBorder="1" applyAlignment="1">
      <alignment horizontal="center" vertical="center"/>
    </xf>
    <xf numFmtId="0" fontId="8" fillId="2" borderId="1" xfId="1" applyFont="1" applyFill="1" applyBorder="1" applyAlignment="1">
      <alignment horizontal="center" vertical="center"/>
    </xf>
    <xf numFmtId="176" fontId="7" fillId="0" borderId="0" xfId="3" applyNumberFormat="1" applyFont="1" applyBorder="1" applyAlignment="1">
      <alignment vertical="center" shrinkToFit="1"/>
    </xf>
    <xf numFmtId="0" fontId="7" fillId="0" borderId="0" xfId="1" applyFont="1" applyAlignment="1">
      <alignment horizontal="center" vertical="center" shrinkToFit="1"/>
    </xf>
    <xf numFmtId="178" fontId="8" fillId="0" borderId="0" xfId="4" applyNumberFormat="1" applyFont="1" applyBorder="1" applyAlignment="1">
      <alignment horizontal="center" vertical="center" shrinkToFit="1"/>
    </xf>
    <xf numFmtId="178" fontId="7" fillId="0" borderId="0" xfId="4" applyNumberFormat="1" applyFont="1" applyBorder="1" applyAlignment="1">
      <alignment horizontal="center" vertical="center" shrinkToFit="1"/>
    </xf>
    <xf numFmtId="178" fontId="8" fillId="0" borderId="0" xfId="1" applyNumberFormat="1" applyFont="1" applyAlignment="1">
      <alignment horizontal="center" vertical="center"/>
    </xf>
    <xf numFmtId="178" fontId="8" fillId="0" borderId="0" xfId="1" applyNumberFormat="1" applyFont="1" applyAlignment="1">
      <alignment horizontal="center" vertical="center" shrinkToFit="1"/>
    </xf>
    <xf numFmtId="178" fontId="7" fillId="0" borderId="0" xfId="1" applyNumberFormat="1" applyFont="1" applyAlignment="1">
      <alignment horizontal="center" vertical="center" shrinkToFit="1"/>
    </xf>
    <xf numFmtId="6" fontId="7" fillId="0" borderId="0" xfId="1" applyNumberFormat="1" applyFont="1" applyAlignment="1">
      <alignment vertical="center" shrinkToFit="1"/>
    </xf>
    <xf numFmtId="0" fontId="8" fillId="0" borderId="0" xfId="1" applyFont="1" applyAlignment="1">
      <alignment horizontal="center" vertical="center"/>
    </xf>
    <xf numFmtId="0" fontId="8" fillId="0" borderId="0" xfId="0" applyFont="1" applyAlignment="1">
      <alignment horizontal="right" indent="1"/>
    </xf>
    <xf numFmtId="0" fontId="10" fillId="2" borderId="3" xfId="1" applyFont="1" applyFill="1" applyBorder="1" applyAlignment="1">
      <alignment horizontal="center" vertical="center" wrapText="1"/>
    </xf>
    <xf numFmtId="0" fontId="10" fillId="2" borderId="4" xfId="1" applyFont="1" applyFill="1" applyBorder="1" applyAlignment="1">
      <alignment vertical="center" wrapText="1"/>
    </xf>
    <xf numFmtId="0" fontId="10" fillId="2" borderId="5" xfId="1" applyFont="1" applyFill="1" applyBorder="1" applyAlignment="1">
      <alignment horizontal="center" vertical="center" wrapText="1"/>
    </xf>
    <xf numFmtId="0" fontId="10" fillId="2" borderId="1" xfId="1" applyFont="1" applyFill="1" applyBorder="1" applyAlignment="1">
      <alignment horizontal="center" vertical="center" shrinkToFit="1"/>
    </xf>
    <xf numFmtId="0" fontId="10" fillId="2" borderId="1" xfId="1" applyFont="1" applyFill="1" applyBorder="1" applyAlignment="1">
      <alignment horizontal="center" vertical="center" wrapText="1"/>
    </xf>
    <xf numFmtId="0" fontId="10" fillId="2" borderId="42" xfId="1" applyFont="1" applyFill="1" applyBorder="1" applyAlignment="1">
      <alignment horizontal="center" vertical="center" wrapText="1"/>
    </xf>
    <xf numFmtId="0" fontId="5" fillId="2" borderId="1" xfId="1" applyFont="1" applyFill="1" applyBorder="1" applyAlignment="1">
      <alignment horizontal="center" vertical="center" shrinkToFit="1"/>
    </xf>
    <xf numFmtId="0" fontId="8" fillId="0" borderId="28" xfId="1" applyFont="1" applyBorder="1" applyAlignment="1">
      <alignment horizontal="center" vertical="center"/>
    </xf>
    <xf numFmtId="180" fontId="8" fillId="0" borderId="20" xfId="1" applyNumberFormat="1" applyFont="1" applyBorder="1">
      <alignment vertical="center"/>
    </xf>
    <xf numFmtId="180" fontId="8" fillId="0" borderId="1" xfId="1" applyNumberFormat="1" applyFont="1" applyBorder="1">
      <alignment vertical="center"/>
    </xf>
    <xf numFmtId="180" fontId="8" fillId="0" borderId="2" xfId="1" applyNumberFormat="1" applyFont="1" applyBorder="1">
      <alignment vertical="center"/>
    </xf>
    <xf numFmtId="180" fontId="8" fillId="0" borderId="2" xfId="1" applyNumberFormat="1" applyFont="1" applyBorder="1" applyAlignment="1">
      <alignment vertical="center" shrinkToFit="1"/>
    </xf>
    <xf numFmtId="180" fontId="8" fillId="0" borderId="23" xfId="1" applyNumberFormat="1" applyFont="1" applyBorder="1">
      <alignment vertical="center"/>
    </xf>
    <xf numFmtId="180" fontId="8" fillId="0" borderId="3" xfId="1" applyNumberFormat="1" applyFont="1" applyBorder="1">
      <alignment vertical="center"/>
    </xf>
    <xf numFmtId="38" fontId="8" fillId="0" borderId="4" xfId="1" applyNumberFormat="1" applyFont="1" applyBorder="1" applyAlignment="1">
      <alignment vertical="center" shrinkToFit="1"/>
    </xf>
    <xf numFmtId="38" fontId="8" fillId="0" borderId="1" xfId="2" applyFont="1" applyBorder="1" applyAlignment="1">
      <alignment vertical="center" shrinkToFit="1"/>
    </xf>
    <xf numFmtId="38" fontId="8" fillId="0" borderId="1" xfId="1" applyNumberFormat="1" applyFont="1" applyBorder="1" applyAlignment="1">
      <alignment vertical="center" shrinkToFit="1"/>
    </xf>
    <xf numFmtId="38" fontId="8" fillId="0" borderId="28" xfId="1" applyNumberFormat="1" applyFont="1" applyBorder="1" applyAlignment="1">
      <alignment vertical="center" shrinkToFit="1"/>
    </xf>
    <xf numFmtId="38" fontId="8" fillId="0" borderId="20" xfId="1" applyNumberFormat="1" applyFont="1" applyBorder="1" applyAlignment="1">
      <alignment vertical="center" shrinkToFit="1"/>
    </xf>
    <xf numFmtId="0" fontId="8" fillId="0" borderId="33" xfId="1" applyFont="1" applyBorder="1" applyAlignment="1">
      <alignment horizontal="center" vertical="center"/>
    </xf>
    <xf numFmtId="180" fontId="8" fillId="0" borderId="37" xfId="1" applyNumberFormat="1" applyFont="1" applyBorder="1">
      <alignment vertical="center"/>
    </xf>
    <xf numFmtId="180" fontId="8" fillId="0" borderId="12" xfId="1" applyNumberFormat="1" applyFont="1" applyBorder="1">
      <alignment vertical="center"/>
    </xf>
    <xf numFmtId="180" fontId="8" fillId="0" borderId="32" xfId="1" applyNumberFormat="1" applyFont="1" applyBorder="1">
      <alignment vertical="center"/>
    </xf>
    <xf numFmtId="180" fontId="8" fillId="0" borderId="32" xfId="1" applyNumberFormat="1" applyFont="1" applyBorder="1" applyAlignment="1">
      <alignment vertical="center" shrinkToFit="1"/>
    </xf>
    <xf numFmtId="180" fontId="8" fillId="0" borderId="41" xfId="1" applyNumberFormat="1" applyFont="1" applyBorder="1" applyAlignment="1">
      <alignment vertical="center" shrinkToFit="1"/>
    </xf>
    <xf numFmtId="180" fontId="8" fillId="0" borderId="35" xfId="1" applyNumberFormat="1" applyFont="1" applyBorder="1">
      <alignment vertical="center"/>
    </xf>
    <xf numFmtId="180" fontId="8" fillId="0" borderId="36" xfId="1" applyNumberFormat="1" applyFont="1" applyBorder="1">
      <alignment vertical="center"/>
    </xf>
    <xf numFmtId="38" fontId="8" fillId="0" borderId="34" xfId="1" applyNumberFormat="1" applyFont="1" applyBorder="1" applyAlignment="1">
      <alignment vertical="center" shrinkToFit="1"/>
    </xf>
    <xf numFmtId="38" fontId="8" fillId="0" borderId="12" xfId="2" applyFont="1" applyBorder="1" applyAlignment="1">
      <alignment vertical="center" shrinkToFit="1"/>
    </xf>
    <xf numFmtId="38" fontId="8" fillId="0" borderId="9" xfId="1" applyNumberFormat="1" applyFont="1" applyBorder="1" applyAlignment="1">
      <alignment vertical="center" shrinkToFit="1"/>
    </xf>
    <xf numFmtId="38" fontId="8" fillId="0" borderId="26" xfId="1" applyNumberFormat="1" applyFont="1" applyBorder="1" applyAlignment="1">
      <alignment vertical="center" shrinkToFit="1"/>
    </xf>
    <xf numFmtId="38" fontId="8" fillId="0" borderId="40" xfId="1" applyNumberFormat="1" applyFont="1" applyBorder="1" applyAlignment="1">
      <alignment vertical="center" shrinkToFit="1"/>
    </xf>
    <xf numFmtId="38" fontId="8" fillId="0" borderId="9" xfId="2" applyFont="1" applyBorder="1" applyAlignment="1">
      <alignment vertical="center" shrinkToFit="1"/>
    </xf>
    <xf numFmtId="0" fontId="8" fillId="0" borderId="27" xfId="1" applyFont="1" applyBorder="1" applyAlignment="1">
      <alignment horizontal="center" vertical="center"/>
    </xf>
    <xf numFmtId="180" fontId="8" fillId="0" borderId="15" xfId="1" applyNumberFormat="1" applyFont="1" applyBorder="1">
      <alignment vertical="center"/>
    </xf>
    <xf numFmtId="180" fontId="8" fillId="0" borderId="10" xfId="1" applyNumberFormat="1" applyFont="1" applyBorder="1">
      <alignment vertical="center"/>
    </xf>
    <xf numFmtId="180" fontId="8" fillId="0" borderId="11" xfId="1" applyNumberFormat="1" applyFont="1" applyBorder="1">
      <alignment vertical="center"/>
    </xf>
    <xf numFmtId="180" fontId="8" fillId="0" borderId="14" xfId="1" applyNumberFormat="1" applyFont="1" applyBorder="1" applyAlignment="1">
      <alignment vertical="center" shrinkToFit="1"/>
    </xf>
    <xf numFmtId="180" fontId="8" fillId="0" borderId="43" xfId="1" applyNumberFormat="1" applyFont="1" applyBorder="1" applyAlignment="1">
      <alignment vertical="center" shrinkToFit="1"/>
    </xf>
    <xf numFmtId="180" fontId="8" fillId="0" borderId="22" xfId="1" applyNumberFormat="1" applyFont="1" applyBorder="1">
      <alignment vertical="center"/>
    </xf>
    <xf numFmtId="180" fontId="8" fillId="0" borderId="13" xfId="1" applyNumberFormat="1" applyFont="1" applyBorder="1">
      <alignment vertical="center"/>
    </xf>
    <xf numFmtId="38" fontId="8" fillId="0" borderId="15" xfId="1" applyNumberFormat="1" applyFont="1" applyBorder="1" applyAlignment="1">
      <alignment vertical="center" shrinkToFit="1"/>
    </xf>
    <xf numFmtId="38" fontId="8" fillId="0" borderId="10" xfId="2" applyFont="1" applyBorder="1" applyAlignment="1">
      <alignment vertical="center" shrinkToFit="1"/>
    </xf>
    <xf numFmtId="38" fontId="8" fillId="0" borderId="8" xfId="1" applyNumberFormat="1" applyFont="1" applyBorder="1" applyAlignment="1">
      <alignment vertical="center" shrinkToFit="1"/>
    </xf>
    <xf numFmtId="38" fontId="8" fillId="0" borderId="29" xfId="1" applyNumberFormat="1" applyFont="1" applyBorder="1" applyAlignment="1">
      <alignment vertical="center" shrinkToFit="1"/>
    </xf>
    <xf numFmtId="38" fontId="8" fillId="0" borderId="25" xfId="1" applyNumberFormat="1" applyFont="1" applyBorder="1" applyAlignment="1">
      <alignment vertical="center" shrinkToFit="1"/>
    </xf>
    <xf numFmtId="38" fontId="8" fillId="0" borderId="16" xfId="1" applyNumberFormat="1" applyFont="1" applyBorder="1" applyAlignment="1">
      <alignment vertical="center" shrinkToFit="1"/>
    </xf>
    <xf numFmtId="180" fontId="8" fillId="0" borderId="4" xfId="1" applyNumberFormat="1" applyFont="1" applyBorder="1">
      <alignment vertical="center"/>
    </xf>
    <xf numFmtId="180" fontId="8" fillId="0" borderId="11" xfId="1" applyNumberFormat="1" applyFont="1" applyBorder="1" applyAlignment="1">
      <alignment vertical="center" shrinkToFit="1"/>
    </xf>
    <xf numFmtId="180" fontId="8" fillId="0" borderId="1" xfId="1" applyNumberFormat="1" applyFont="1" applyBorder="1" applyAlignment="1">
      <alignment vertical="center" shrinkToFit="1"/>
    </xf>
    <xf numFmtId="180" fontId="8" fillId="0" borderId="42" xfId="1" applyNumberFormat="1" applyFont="1" applyBorder="1" applyAlignment="1">
      <alignment vertical="center" shrinkToFit="1"/>
    </xf>
    <xf numFmtId="38" fontId="8" fillId="0" borderId="10" xfId="1" applyNumberFormat="1" applyFont="1" applyBorder="1" applyAlignment="1">
      <alignment vertical="center" shrinkToFit="1"/>
    </xf>
    <xf numFmtId="38" fontId="8" fillId="0" borderId="27" xfId="1" applyNumberFormat="1" applyFont="1" applyBorder="1" applyAlignment="1">
      <alignment vertical="center" shrinkToFit="1"/>
    </xf>
    <xf numFmtId="38" fontId="8" fillId="0" borderId="24" xfId="1" applyNumberFormat="1" applyFont="1" applyBorder="1" applyAlignment="1">
      <alignment vertical="center" shrinkToFit="1"/>
    </xf>
    <xf numFmtId="180" fontId="8" fillId="0" borderId="25" xfId="1" applyNumberFormat="1" applyFont="1" applyBorder="1" applyAlignment="1">
      <alignment vertical="center" shrinkToFit="1"/>
    </xf>
    <xf numFmtId="180" fontId="8" fillId="0" borderId="46" xfId="1" applyNumberFormat="1" applyFont="1" applyBorder="1" applyAlignment="1">
      <alignment vertical="center" shrinkToFit="1"/>
    </xf>
    <xf numFmtId="180" fontId="8" fillId="0" borderId="47" xfId="1" applyNumberFormat="1" applyFont="1" applyBorder="1" applyAlignment="1">
      <alignment vertical="center" shrinkToFit="1"/>
    </xf>
    <xf numFmtId="180" fontId="8" fillId="0" borderId="48" xfId="1" applyNumberFormat="1" applyFont="1" applyBorder="1" applyAlignment="1">
      <alignment vertical="center" shrinkToFit="1"/>
    </xf>
    <xf numFmtId="180" fontId="8" fillId="0" borderId="8" xfId="1" applyNumberFormat="1" applyFont="1" applyBorder="1" applyAlignment="1">
      <alignment vertical="center" shrinkToFit="1"/>
    </xf>
    <xf numFmtId="6" fontId="8" fillId="0" borderId="1" xfId="2" applyNumberFormat="1" applyFont="1" applyBorder="1" applyAlignment="1">
      <alignment horizontal="center" vertical="center"/>
    </xf>
    <xf numFmtId="0" fontId="8" fillId="0" borderId="0" xfId="0" applyFont="1">
      <alignment vertical="center"/>
    </xf>
    <xf numFmtId="0" fontId="8" fillId="0" borderId="0" xfId="1" applyFont="1">
      <alignment vertical="center"/>
    </xf>
    <xf numFmtId="178" fontId="7" fillId="0" borderId="0" xfId="1" applyNumberFormat="1" applyFont="1" applyAlignment="1">
      <alignment horizontal="center" vertical="center"/>
    </xf>
    <xf numFmtId="0" fontId="7" fillId="0" borderId="0" xfId="1" applyFont="1">
      <alignment vertical="center"/>
    </xf>
    <xf numFmtId="0" fontId="5" fillId="2" borderId="3" xfId="1" applyFont="1" applyFill="1" applyBorder="1" applyAlignment="1">
      <alignment horizontal="center" vertical="center" wrapText="1"/>
    </xf>
    <xf numFmtId="0" fontId="5" fillId="2" borderId="4" xfId="1" applyFont="1" applyFill="1" applyBorder="1" applyAlignment="1">
      <alignment vertical="center" wrapText="1"/>
    </xf>
    <xf numFmtId="0" fontId="5" fillId="2" borderId="7" xfId="1" applyFont="1" applyFill="1" applyBorder="1">
      <alignment vertical="center"/>
    </xf>
    <xf numFmtId="0" fontId="8" fillId="2" borderId="3" xfId="1" applyFont="1" applyFill="1" applyBorder="1">
      <alignment vertical="center"/>
    </xf>
    <xf numFmtId="0" fontId="8" fillId="2" borderId="18" xfId="1" applyFont="1" applyFill="1" applyBorder="1">
      <alignment vertical="center"/>
    </xf>
    <xf numFmtId="0" fontId="5" fillId="2" borderId="1" xfId="1" applyFont="1" applyFill="1" applyBorder="1" applyAlignment="1">
      <alignment horizontal="center" vertical="center" wrapText="1"/>
    </xf>
    <xf numFmtId="179" fontId="5" fillId="2" borderId="15" xfId="1" applyNumberFormat="1" applyFont="1" applyFill="1" applyBorder="1" applyAlignment="1">
      <alignment vertical="center" wrapText="1"/>
    </xf>
    <xf numFmtId="0" fontId="5" fillId="2" borderId="1" xfId="1" applyFont="1" applyFill="1" applyBorder="1" applyAlignment="1">
      <alignment horizontal="center" vertical="center"/>
    </xf>
    <xf numFmtId="0" fontId="8" fillId="0" borderId="28" xfId="1" applyFont="1" applyBorder="1" applyAlignment="1">
      <alignment horizontal="center" vertical="center" shrinkToFit="1"/>
    </xf>
    <xf numFmtId="180" fontId="8" fillId="0" borderId="4" xfId="1" applyNumberFormat="1" applyFont="1" applyBorder="1" applyAlignment="1">
      <alignment vertical="center" shrinkToFit="1"/>
    </xf>
    <xf numFmtId="180" fontId="8" fillId="0" borderId="20" xfId="1" applyNumberFormat="1" applyFont="1" applyBorder="1" applyAlignment="1">
      <alignment vertical="center" shrinkToFit="1"/>
    </xf>
    <xf numFmtId="180" fontId="8" fillId="0" borderId="23" xfId="1" applyNumberFormat="1" applyFont="1" applyBorder="1" applyAlignment="1">
      <alignment vertical="center" shrinkToFit="1"/>
    </xf>
    <xf numFmtId="0" fontId="8" fillId="0" borderId="33" xfId="1" applyFont="1" applyBorder="1" applyAlignment="1">
      <alignment horizontal="center" vertical="center" shrinkToFit="1"/>
    </xf>
    <xf numFmtId="180" fontId="8" fillId="0" borderId="34" xfId="1" applyNumberFormat="1" applyFont="1" applyBorder="1" applyAlignment="1">
      <alignment vertical="center" shrinkToFit="1"/>
    </xf>
    <xf numFmtId="180" fontId="8" fillId="0" borderId="12" xfId="1" applyNumberFormat="1" applyFont="1" applyBorder="1" applyAlignment="1">
      <alignment vertical="center" shrinkToFit="1"/>
    </xf>
    <xf numFmtId="180" fontId="8" fillId="0" borderId="37" xfId="1" applyNumberFormat="1" applyFont="1" applyBorder="1" applyAlignment="1">
      <alignment vertical="center" shrinkToFit="1"/>
    </xf>
    <xf numFmtId="180" fontId="8" fillId="0" borderId="12" xfId="2" applyNumberFormat="1" applyFont="1" applyBorder="1" applyAlignment="1">
      <alignment vertical="center" shrinkToFit="1"/>
    </xf>
    <xf numFmtId="180" fontId="8" fillId="0" borderId="35" xfId="1" applyNumberFormat="1" applyFont="1" applyBorder="1" applyAlignment="1">
      <alignment vertical="center" shrinkToFit="1"/>
    </xf>
    <xf numFmtId="0" fontId="8" fillId="0" borderId="27" xfId="1" applyFont="1" applyBorder="1" applyAlignment="1">
      <alignment horizontal="center" vertical="center" shrinkToFit="1"/>
    </xf>
    <xf numFmtId="180" fontId="8" fillId="0" borderId="15" xfId="1" applyNumberFormat="1" applyFont="1" applyBorder="1" applyAlignment="1">
      <alignment vertical="center" shrinkToFit="1"/>
    </xf>
    <xf numFmtId="180" fontId="8" fillId="0" borderId="10" xfId="1" applyNumberFormat="1" applyFont="1" applyBorder="1" applyAlignment="1">
      <alignment vertical="center" shrinkToFit="1"/>
    </xf>
    <xf numFmtId="180" fontId="8" fillId="0" borderId="8" xfId="2" applyNumberFormat="1" applyFont="1" applyBorder="1" applyAlignment="1">
      <alignment vertical="center" shrinkToFit="1"/>
    </xf>
    <xf numFmtId="180" fontId="8" fillId="0" borderId="22" xfId="1" applyNumberFormat="1" applyFont="1" applyBorder="1" applyAlignment="1">
      <alignment vertical="center" shrinkToFit="1"/>
    </xf>
    <xf numFmtId="180" fontId="8" fillId="0" borderId="24" xfId="1" applyNumberFormat="1" applyFont="1" applyBorder="1" applyAlignment="1">
      <alignment vertical="center" shrinkToFit="1"/>
    </xf>
    <xf numFmtId="180" fontId="8" fillId="0" borderId="10" xfId="2" applyNumberFormat="1" applyFont="1" applyBorder="1" applyAlignment="1">
      <alignment vertical="center" shrinkToFit="1"/>
    </xf>
    <xf numFmtId="180" fontId="8" fillId="0" borderId="29" xfId="1" applyNumberFormat="1" applyFont="1" applyBorder="1" applyAlignment="1">
      <alignment vertical="center" shrinkToFit="1"/>
    </xf>
    <xf numFmtId="180" fontId="8" fillId="0" borderId="16" xfId="1" applyNumberFormat="1" applyFont="1" applyBorder="1" applyAlignment="1">
      <alignment vertical="center" shrinkToFit="1"/>
    </xf>
    <xf numFmtId="0" fontId="8" fillId="2" borderId="2" xfId="1" applyFont="1" applyFill="1" applyBorder="1" applyAlignment="1">
      <alignment horizontal="center" vertical="center"/>
    </xf>
    <xf numFmtId="176" fontId="8" fillId="0" borderId="0" xfId="3" applyNumberFormat="1" applyFont="1" applyBorder="1" applyAlignment="1">
      <alignment vertical="center"/>
    </xf>
    <xf numFmtId="0" fontId="8" fillId="2" borderId="2" xfId="1" applyFont="1" applyFill="1" applyBorder="1" applyAlignment="1">
      <alignment horizontal="center" vertical="center" shrinkToFit="1"/>
    </xf>
    <xf numFmtId="0" fontId="5" fillId="2" borderId="2" xfId="1" applyFont="1" applyFill="1" applyBorder="1" applyAlignment="1">
      <alignment horizontal="center" vertical="center"/>
    </xf>
    <xf numFmtId="177" fontId="8" fillId="0" borderId="1" xfId="1" applyNumberFormat="1" applyFont="1" applyBorder="1" applyAlignment="1">
      <alignment horizontal="center" vertical="center"/>
    </xf>
    <xf numFmtId="0" fontId="5" fillId="0" borderId="1" xfId="1" applyFont="1" applyBorder="1" applyAlignment="1">
      <alignment horizontal="center" vertical="center"/>
    </xf>
    <xf numFmtId="181" fontId="5" fillId="0" borderId="2" xfId="1" applyNumberFormat="1" applyFont="1" applyBorder="1" applyAlignment="1">
      <alignment horizontal="center" vertical="center"/>
    </xf>
    <xf numFmtId="181" fontId="5" fillId="0" borderId="1" xfId="1" applyNumberFormat="1" applyFont="1" applyBorder="1" applyAlignment="1">
      <alignment horizontal="center" vertical="center"/>
    </xf>
    <xf numFmtId="0" fontId="5" fillId="0" borderId="10" xfId="1" applyFont="1" applyBorder="1" applyAlignment="1">
      <alignment horizontal="center" vertical="center"/>
    </xf>
    <xf numFmtId="181" fontId="5" fillId="0" borderId="11" xfId="1" applyNumberFormat="1" applyFont="1" applyBorder="1" applyAlignment="1">
      <alignment horizontal="center" vertical="center"/>
    </xf>
    <xf numFmtId="181" fontId="5" fillId="0" borderId="10" xfId="1" applyNumberFormat="1" applyFont="1" applyBorder="1" applyAlignment="1">
      <alignment horizontal="center" vertical="center"/>
    </xf>
    <xf numFmtId="177" fontId="8" fillId="0" borderId="12" xfId="1" applyNumberFormat="1" applyFont="1" applyBorder="1" applyAlignment="1">
      <alignment horizontal="center" vertical="center"/>
    </xf>
    <xf numFmtId="0" fontId="5" fillId="0" borderId="30" xfId="1" applyFont="1" applyBorder="1" applyAlignment="1">
      <alignment horizontal="center" vertical="center"/>
    </xf>
    <xf numFmtId="181" fontId="5" fillId="0" borderId="31" xfId="1" applyNumberFormat="1" applyFont="1" applyBorder="1" applyAlignment="1">
      <alignment horizontal="center" vertical="center"/>
    </xf>
    <xf numFmtId="181" fontId="5" fillId="0" borderId="32" xfId="1" applyNumberFormat="1" applyFont="1" applyBorder="1" applyAlignment="1">
      <alignment horizontal="center" vertical="center"/>
    </xf>
    <xf numFmtId="181" fontId="5" fillId="0" borderId="30" xfId="1" applyNumberFormat="1" applyFont="1" applyBorder="1" applyAlignment="1">
      <alignment horizontal="center" vertical="center"/>
    </xf>
    <xf numFmtId="177" fontId="8" fillId="0" borderId="10" xfId="1" applyNumberFormat="1" applyFont="1" applyBorder="1" applyAlignment="1">
      <alignment horizontal="center" vertical="center"/>
    </xf>
    <xf numFmtId="0" fontId="8" fillId="0" borderId="10" xfId="1" applyFont="1" applyBorder="1" applyAlignment="1">
      <alignment horizontal="center" vertical="center"/>
    </xf>
    <xf numFmtId="181" fontId="8" fillId="0" borderId="10" xfId="1" applyNumberFormat="1" applyFont="1" applyBorder="1">
      <alignment vertical="center"/>
    </xf>
    <xf numFmtId="181" fontId="8" fillId="0" borderId="10" xfId="2" applyNumberFormat="1" applyFont="1" applyFill="1" applyBorder="1" applyAlignment="1">
      <alignment vertical="center"/>
    </xf>
    <xf numFmtId="0" fontId="8" fillId="0" borderId="1" xfId="1" applyFont="1" applyBorder="1" applyAlignment="1">
      <alignment horizontal="center" vertical="center"/>
    </xf>
    <xf numFmtId="181" fontId="8" fillId="0" borderId="1" xfId="1" applyNumberFormat="1" applyFont="1" applyBorder="1">
      <alignment vertical="center"/>
    </xf>
    <xf numFmtId="181" fontId="8" fillId="0" borderId="1" xfId="2" applyNumberFormat="1" applyFont="1" applyBorder="1" applyAlignment="1">
      <alignment vertical="center"/>
    </xf>
    <xf numFmtId="177" fontId="8" fillId="0" borderId="9" xfId="1" applyNumberFormat="1" applyFont="1" applyBorder="1" applyAlignment="1">
      <alignment horizontal="center" vertical="center"/>
    </xf>
    <xf numFmtId="0" fontId="8" fillId="0" borderId="9" xfId="1" applyFont="1" applyBorder="1" applyAlignment="1">
      <alignment horizontal="center" vertical="center"/>
    </xf>
    <xf numFmtId="181" fontId="8" fillId="0" borderId="9" xfId="1" applyNumberFormat="1" applyFont="1" applyBorder="1">
      <alignment vertical="center"/>
    </xf>
    <xf numFmtId="181" fontId="8" fillId="0" borderId="9" xfId="2" applyNumberFormat="1" applyFont="1" applyBorder="1" applyAlignment="1">
      <alignment vertical="center"/>
    </xf>
    <xf numFmtId="181" fontId="8" fillId="0" borderId="8" xfId="1" applyNumberFormat="1" applyFont="1" applyBorder="1" applyAlignment="1">
      <alignment vertical="center" shrinkToFit="1"/>
    </xf>
    <xf numFmtId="38" fontId="11" fillId="0" borderId="1" xfId="1" applyNumberFormat="1" applyFont="1" applyBorder="1" applyAlignment="1">
      <alignment vertical="center" shrinkToFit="1"/>
    </xf>
    <xf numFmtId="38" fontId="8" fillId="0" borderId="49" xfId="1" applyNumberFormat="1" applyFont="1" applyBorder="1" applyAlignment="1">
      <alignment vertical="center" shrinkToFit="1"/>
    </xf>
    <xf numFmtId="38" fontId="8" fillId="0" borderId="50" xfId="1" applyNumberFormat="1" applyFont="1" applyBorder="1" applyAlignment="1">
      <alignment vertical="center" shrinkToFit="1"/>
    </xf>
    <xf numFmtId="38" fontId="8" fillId="0" borderId="39" xfId="2" applyFont="1" applyBorder="1" applyAlignment="1">
      <alignment vertical="center" shrinkToFit="1"/>
    </xf>
    <xf numFmtId="38" fontId="8" fillId="0" borderId="39" xfId="1" applyNumberFormat="1" applyFont="1" applyBorder="1" applyAlignment="1">
      <alignment vertical="center" shrinkToFit="1"/>
    </xf>
    <xf numFmtId="38" fontId="8" fillId="0" borderId="12" xfId="1" applyNumberFormat="1" applyFont="1" applyBorder="1" applyAlignment="1">
      <alignment vertical="center" shrinkToFit="1"/>
    </xf>
    <xf numFmtId="38" fontId="8" fillId="0" borderId="33" xfId="1" applyNumberFormat="1" applyFont="1" applyBorder="1" applyAlignment="1">
      <alignment vertical="center" shrinkToFit="1"/>
    </xf>
    <xf numFmtId="38" fontId="8" fillId="0" borderId="37" xfId="1" applyNumberFormat="1" applyFont="1" applyBorder="1" applyAlignment="1">
      <alignment vertical="center" shrinkToFit="1"/>
    </xf>
    <xf numFmtId="38" fontId="11" fillId="0" borderId="0" xfId="2" applyFont="1" applyBorder="1" applyAlignment="1">
      <alignment vertical="center"/>
    </xf>
    <xf numFmtId="10" fontId="11" fillId="0" borderId="1" xfId="5" applyNumberFormat="1" applyFont="1" applyBorder="1" applyAlignment="1">
      <alignment vertical="center"/>
    </xf>
    <xf numFmtId="178" fontId="11" fillId="0" borderId="1" xfId="4" applyNumberFormat="1" applyFont="1" applyBorder="1" applyAlignment="1">
      <alignment vertical="center"/>
    </xf>
    <xf numFmtId="178" fontId="11" fillId="0" borderId="1" xfId="1" applyNumberFormat="1" applyFont="1" applyBorder="1">
      <alignment vertical="center"/>
    </xf>
    <xf numFmtId="10" fontId="11" fillId="0" borderId="1" xfId="0" applyNumberFormat="1" applyFont="1" applyBorder="1">
      <alignment vertical="center"/>
    </xf>
    <xf numFmtId="178" fontId="11" fillId="0" borderId="0" xfId="1" applyNumberFormat="1" applyFont="1">
      <alignment vertical="center"/>
    </xf>
    <xf numFmtId="178" fontId="11" fillId="0" borderId="0" xfId="1" applyNumberFormat="1" applyFont="1" applyAlignment="1">
      <alignment horizontal="center" vertical="center"/>
    </xf>
    <xf numFmtId="0" fontId="11" fillId="0" borderId="0" xfId="1" applyFont="1">
      <alignment vertical="center"/>
    </xf>
    <xf numFmtId="180" fontId="8" fillId="3" borderId="1" xfId="2" applyNumberFormat="1" applyFont="1" applyFill="1" applyBorder="1" applyAlignment="1">
      <alignment vertical="center"/>
    </xf>
    <xf numFmtId="180" fontId="8" fillId="3" borderId="1" xfId="2" applyNumberFormat="1" applyFont="1" applyFill="1" applyBorder="1" applyAlignment="1">
      <alignment vertical="center" shrinkToFit="1"/>
    </xf>
    <xf numFmtId="0" fontId="6" fillId="0" borderId="8" xfId="0" applyFont="1" applyBorder="1">
      <alignment vertical="center"/>
    </xf>
    <xf numFmtId="180" fontId="8" fillId="0" borderId="9" xfId="1" applyNumberFormat="1" applyFont="1" applyBorder="1">
      <alignment vertical="center"/>
    </xf>
    <xf numFmtId="0" fontId="8" fillId="0" borderId="26" xfId="1" applyFont="1" applyBorder="1" applyAlignment="1">
      <alignment horizontal="center" vertical="center" shrinkToFit="1"/>
    </xf>
    <xf numFmtId="0" fontId="8" fillId="0" borderId="26" xfId="1" applyFont="1" applyBorder="1" applyAlignment="1">
      <alignment horizontal="center" vertical="center"/>
    </xf>
    <xf numFmtId="0" fontId="5" fillId="2" borderId="9" xfId="1" applyFont="1" applyFill="1" applyBorder="1" applyAlignment="1">
      <alignment horizontal="center" vertical="center" wrapText="1"/>
    </xf>
    <xf numFmtId="0" fontId="5" fillId="2" borderId="10" xfId="1" applyFont="1" applyFill="1" applyBorder="1" applyAlignment="1">
      <alignment horizontal="center" vertical="center"/>
    </xf>
    <xf numFmtId="0" fontId="6" fillId="0" borderId="1" xfId="0" applyFont="1" applyBorder="1" applyAlignment="1">
      <alignment horizontal="center" vertical="center" textRotation="255"/>
    </xf>
    <xf numFmtId="0" fontId="6" fillId="0" borderId="12"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9" xfId="0" applyFont="1" applyBorder="1" applyAlignment="1">
      <alignment horizontal="center" vertical="center" textRotation="255"/>
    </xf>
    <xf numFmtId="0" fontId="5" fillId="0" borderId="8" xfId="1" applyFont="1" applyBorder="1" applyAlignment="1">
      <alignment horizontal="center" vertical="center" shrinkToFit="1"/>
    </xf>
    <xf numFmtId="10" fontId="11" fillId="0" borderId="2" xfId="5" applyNumberFormat="1" applyFont="1" applyFill="1" applyBorder="1" applyAlignment="1">
      <alignment horizontal="center" vertical="center"/>
    </xf>
    <xf numFmtId="10" fontId="11" fillId="0" borderId="4" xfId="5" applyNumberFormat="1" applyFont="1" applyFill="1" applyBorder="1" applyAlignment="1">
      <alignment horizontal="center" vertical="center"/>
    </xf>
    <xf numFmtId="176" fontId="12" fillId="0" borderId="44" xfId="3" applyNumberFormat="1" applyFont="1" applyFill="1" applyBorder="1" applyAlignment="1">
      <alignment vertical="center"/>
    </xf>
    <xf numFmtId="176" fontId="12" fillId="0" borderId="0" xfId="3" applyNumberFormat="1" applyFont="1" applyFill="1" applyBorder="1" applyAlignment="1">
      <alignment vertical="center"/>
    </xf>
    <xf numFmtId="178" fontId="8" fillId="0" borderId="2" xfId="4" applyNumberFormat="1" applyFont="1" applyBorder="1" applyAlignment="1">
      <alignment horizontal="center" vertical="center"/>
    </xf>
    <xf numFmtId="178" fontId="8" fillId="0" borderId="4" xfId="4" applyNumberFormat="1" applyFont="1" applyBorder="1" applyAlignment="1">
      <alignment horizontal="center" vertical="center"/>
    </xf>
    <xf numFmtId="178" fontId="8" fillId="0" borderId="2" xfId="1" applyNumberFormat="1" applyFont="1" applyBorder="1" applyAlignment="1">
      <alignment horizontal="center" vertical="center"/>
    </xf>
    <xf numFmtId="178" fontId="8" fillId="0" borderId="4" xfId="1" applyNumberFormat="1" applyFont="1" applyBorder="1" applyAlignment="1">
      <alignment horizontal="center" vertical="center"/>
    </xf>
    <xf numFmtId="9" fontId="8" fillId="0" borderId="2" xfId="1" applyNumberFormat="1" applyFont="1" applyBorder="1" applyAlignment="1">
      <alignment horizontal="center" vertical="center"/>
    </xf>
    <xf numFmtId="9" fontId="8" fillId="0" borderId="4" xfId="1" applyNumberFormat="1" applyFont="1" applyBorder="1" applyAlignment="1">
      <alignment horizontal="center" vertical="center"/>
    </xf>
    <xf numFmtId="0" fontId="5" fillId="2" borderId="1" xfId="1" applyFont="1" applyFill="1" applyBorder="1" applyAlignment="1">
      <alignment horizontal="center" vertical="center"/>
    </xf>
    <xf numFmtId="0" fontId="5" fillId="2" borderId="7" xfId="1" applyFont="1" applyFill="1" applyBorder="1" applyAlignment="1">
      <alignment horizontal="center" vertical="center" wrapText="1"/>
    </xf>
    <xf numFmtId="0" fontId="5" fillId="2" borderId="11" xfId="1" applyFont="1" applyFill="1" applyBorder="1" applyAlignment="1">
      <alignment horizontal="center" vertical="center"/>
    </xf>
    <xf numFmtId="0" fontId="5" fillId="2" borderId="9" xfId="1" applyFont="1" applyFill="1" applyBorder="1" applyAlignment="1">
      <alignment horizontal="center" vertical="center"/>
    </xf>
    <xf numFmtId="0" fontId="9" fillId="0" borderId="0" xfId="1" applyFont="1" applyAlignment="1">
      <alignment horizontal="center" vertical="center" wrapText="1"/>
    </xf>
    <xf numFmtId="0" fontId="9" fillId="0" borderId="0" xfId="1" applyFont="1" applyAlignment="1">
      <alignment horizontal="center" vertical="center"/>
    </xf>
    <xf numFmtId="6" fontId="8" fillId="0" borderId="2" xfId="2" applyNumberFormat="1" applyFont="1" applyBorder="1" applyAlignment="1">
      <alignment horizontal="center" vertical="center"/>
    </xf>
    <xf numFmtId="6" fontId="8" fillId="0" borderId="4" xfId="2" applyNumberFormat="1" applyFont="1" applyBorder="1" applyAlignment="1">
      <alignment horizontal="center" vertical="center"/>
    </xf>
    <xf numFmtId="0" fontId="6" fillId="0" borderId="44" xfId="1" applyFont="1" applyBorder="1" applyAlignment="1">
      <alignment horizontal="left" vertical="center"/>
    </xf>
    <xf numFmtId="0" fontId="6" fillId="0" borderId="0" xfId="1" applyFont="1" applyAlignment="1">
      <alignment horizontal="left" vertical="center"/>
    </xf>
    <xf numFmtId="181" fontId="8" fillId="3" borderId="2" xfId="2" applyNumberFormat="1" applyFont="1" applyFill="1" applyBorder="1" applyAlignment="1">
      <alignment horizontal="center" vertical="center" shrinkToFit="1"/>
    </xf>
    <xf numFmtId="181" fontId="8" fillId="3" borderId="4" xfId="2" applyNumberFormat="1" applyFont="1" applyFill="1" applyBorder="1" applyAlignment="1">
      <alignment horizontal="center" vertical="center" shrinkToFit="1"/>
    </xf>
    <xf numFmtId="38" fontId="8" fillId="0" borderId="44" xfId="2" applyFont="1" applyBorder="1" applyAlignment="1">
      <alignment vertical="center"/>
    </xf>
    <xf numFmtId="38" fontId="8" fillId="0" borderId="0" xfId="2" applyFont="1" applyBorder="1" applyAlignment="1">
      <alignment vertical="center"/>
    </xf>
    <xf numFmtId="0" fontId="8" fillId="2" borderId="1" xfId="1" applyFont="1" applyFill="1" applyBorder="1" applyAlignment="1">
      <alignment horizontal="center" vertical="center"/>
    </xf>
    <xf numFmtId="6" fontId="8" fillId="0" borderId="0" xfId="2" applyNumberFormat="1" applyFont="1" applyBorder="1" applyAlignment="1">
      <alignment horizontal="left" vertical="center"/>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8" fillId="2" borderId="45"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5" xfId="0" applyFont="1" applyFill="1" applyBorder="1" applyAlignment="1">
      <alignment horizontal="center" vertical="center" wrapText="1"/>
    </xf>
    <xf numFmtId="10" fontId="11" fillId="0" borderId="0" xfId="5" applyNumberFormat="1" applyFont="1" applyBorder="1" applyAlignment="1">
      <alignment horizontal="left" vertical="center"/>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178" fontId="11" fillId="0" borderId="44" xfId="4" applyNumberFormat="1" applyFont="1" applyBorder="1" applyAlignment="1">
      <alignment vertical="center" wrapText="1"/>
    </xf>
    <xf numFmtId="178" fontId="11" fillId="0" borderId="0" xfId="4" applyNumberFormat="1" applyFont="1" applyBorder="1" applyAlignment="1">
      <alignment vertical="center" wrapText="1"/>
    </xf>
    <xf numFmtId="0" fontId="8" fillId="0" borderId="13" xfId="0" applyFont="1" applyBorder="1" applyAlignment="1">
      <alignment horizontal="center"/>
    </xf>
    <xf numFmtId="0" fontId="5" fillId="2" borderId="7"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44" xfId="1" applyFont="1" applyFill="1" applyBorder="1" applyAlignment="1">
      <alignment horizontal="center" vertical="center"/>
    </xf>
    <xf numFmtId="0" fontId="5" fillId="2" borderId="0" xfId="1" applyFont="1" applyFill="1" applyAlignment="1">
      <alignment horizontal="center" vertical="center"/>
    </xf>
    <xf numFmtId="0" fontId="5" fillId="2" borderId="45"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5" xfId="1" applyFont="1" applyFill="1" applyBorder="1" applyAlignment="1">
      <alignment horizontal="center" vertical="center"/>
    </xf>
    <xf numFmtId="0" fontId="5" fillId="2" borderId="28" xfId="1" applyFont="1" applyFill="1" applyBorder="1" applyAlignment="1">
      <alignment horizontal="center" vertical="center" wrapText="1"/>
    </xf>
    <xf numFmtId="0" fontId="5" fillId="2" borderId="28" xfId="1" applyFont="1" applyFill="1" applyBorder="1" applyAlignment="1">
      <alignment horizontal="center" vertical="center"/>
    </xf>
    <xf numFmtId="0" fontId="5" fillId="2" borderId="21" xfId="1" applyFont="1" applyFill="1" applyBorder="1" applyAlignment="1">
      <alignment horizontal="center" vertical="center"/>
    </xf>
    <xf numFmtId="0" fontId="5" fillId="2" borderId="38" xfId="1" applyFont="1" applyFill="1" applyBorder="1" applyAlignment="1">
      <alignment horizontal="center" vertical="center"/>
    </xf>
    <xf numFmtId="0" fontId="5" fillId="2" borderId="20" xfId="1"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5" fillId="2" borderId="19" xfId="1" applyFont="1" applyFill="1" applyBorder="1" applyAlignment="1">
      <alignment horizontal="center" vertical="center" wrapText="1"/>
    </xf>
    <xf numFmtId="177" fontId="8" fillId="0" borderId="2" xfId="1" applyNumberFormat="1" applyFont="1" applyBorder="1" applyAlignment="1">
      <alignment horizontal="center" vertical="center" shrinkToFit="1"/>
    </xf>
    <xf numFmtId="177" fontId="8" fillId="0" borderId="4" xfId="1" applyNumberFormat="1" applyFont="1" applyBorder="1" applyAlignment="1">
      <alignment horizontal="center" vertical="center" shrinkToFit="1"/>
    </xf>
    <xf numFmtId="177" fontId="8" fillId="0" borderId="32" xfId="1" applyNumberFormat="1" applyFont="1" applyBorder="1" applyAlignment="1">
      <alignment horizontal="center" vertical="center" shrinkToFit="1"/>
    </xf>
    <xf numFmtId="177" fontId="8" fillId="0" borderId="34" xfId="1" applyNumberFormat="1" applyFont="1" applyBorder="1" applyAlignment="1">
      <alignment horizontal="center" vertical="center" shrinkToFit="1"/>
    </xf>
    <xf numFmtId="0" fontId="6" fillId="0" borderId="10" xfId="0" applyFont="1" applyBorder="1" applyAlignment="1">
      <alignment horizontal="center" vertical="center" textRotation="255" shrinkToFit="1"/>
    </xf>
    <xf numFmtId="0" fontId="6" fillId="0" borderId="1" xfId="0" applyFont="1" applyBorder="1" applyAlignment="1">
      <alignment horizontal="center" vertical="center" textRotation="255" shrinkToFit="1"/>
    </xf>
    <xf numFmtId="0" fontId="6" fillId="0" borderId="9" xfId="0" applyFont="1" applyBorder="1" applyAlignment="1">
      <alignment horizontal="center" vertical="center" textRotation="255" shrinkToFit="1"/>
    </xf>
    <xf numFmtId="177" fontId="8" fillId="0" borderId="14" xfId="1" applyNumberFormat="1" applyFont="1" applyBorder="1" applyAlignment="1">
      <alignment horizontal="center" vertical="center" shrinkToFit="1"/>
    </xf>
    <xf numFmtId="177" fontId="8" fillId="0" borderId="16" xfId="1" applyNumberFormat="1" applyFont="1" applyBorder="1" applyAlignment="1">
      <alignment horizontal="center" vertical="center" shrinkToFit="1"/>
    </xf>
    <xf numFmtId="0" fontId="6" fillId="0" borderId="12" xfId="0" applyFont="1" applyBorder="1" applyAlignment="1">
      <alignment horizontal="center" vertical="center" textRotation="255" shrinkToFit="1"/>
    </xf>
    <xf numFmtId="177" fontId="8" fillId="0" borderId="7" xfId="1" applyNumberFormat="1" applyFont="1" applyBorder="1" applyAlignment="1">
      <alignment horizontal="center" vertical="center" shrinkToFit="1"/>
    </xf>
    <xf numFmtId="177" fontId="8" fillId="0" borderId="6" xfId="1" applyNumberFormat="1" applyFont="1" applyBorder="1" applyAlignment="1">
      <alignment horizontal="center" vertical="center" shrinkToFit="1"/>
    </xf>
    <xf numFmtId="0" fontId="5" fillId="0" borderId="14" xfId="1" applyFont="1" applyBorder="1" applyAlignment="1">
      <alignment horizontal="center" vertical="center" shrinkToFit="1"/>
    </xf>
    <xf numFmtId="0" fontId="5" fillId="0" borderId="29" xfId="1" applyFont="1" applyBorder="1" applyAlignment="1">
      <alignment horizontal="center" vertical="center" shrinkToFit="1"/>
    </xf>
    <xf numFmtId="177" fontId="8" fillId="0" borderId="2" xfId="1" applyNumberFormat="1" applyFont="1" applyBorder="1" applyAlignment="1">
      <alignment horizontal="center" vertical="center"/>
    </xf>
    <xf numFmtId="177" fontId="8" fillId="0" borderId="4" xfId="1" applyNumberFormat="1" applyFont="1" applyBorder="1" applyAlignment="1">
      <alignment horizontal="center" vertical="center"/>
    </xf>
    <xf numFmtId="179" fontId="5" fillId="2" borderId="5" xfId="1" applyNumberFormat="1" applyFont="1" applyFill="1" applyBorder="1" applyAlignment="1">
      <alignment horizontal="center" vertical="center" shrinkToFit="1"/>
    </xf>
    <xf numFmtId="179" fontId="5" fillId="2" borderId="15" xfId="1" applyNumberFormat="1" applyFont="1" applyFill="1" applyBorder="1" applyAlignment="1">
      <alignment horizontal="center" vertical="center" shrinkToFit="1"/>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10" fillId="2" borderId="4"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17" xfId="1" applyFont="1" applyFill="1" applyBorder="1" applyAlignment="1">
      <alignment horizontal="center" vertical="center" wrapText="1"/>
    </xf>
    <xf numFmtId="0" fontId="10" fillId="2" borderId="19" xfId="1" applyFont="1" applyFill="1" applyBorder="1" applyAlignment="1">
      <alignment horizontal="center" vertical="center" wrapText="1"/>
    </xf>
    <xf numFmtId="0" fontId="10" fillId="2" borderId="20" xfId="1" applyFont="1" applyFill="1" applyBorder="1" applyAlignment="1">
      <alignment horizontal="center" vertical="center" wrapText="1"/>
    </xf>
    <xf numFmtId="0" fontId="10" fillId="2" borderId="5" xfId="1" applyFont="1" applyFill="1" applyBorder="1" applyAlignment="1">
      <alignment horizontal="center" vertical="center" wrapText="1"/>
    </xf>
    <xf numFmtId="0" fontId="10" fillId="2" borderId="13"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8" fillId="2" borderId="4" xfId="1" applyFont="1" applyFill="1" applyBorder="1" applyAlignment="1">
      <alignment horizontal="center" vertical="center" shrinkToFit="1"/>
    </xf>
    <xf numFmtId="0" fontId="8" fillId="2" borderId="1" xfId="1" applyFont="1" applyFill="1" applyBorder="1" applyAlignment="1">
      <alignment horizontal="center" vertical="center" shrinkToFit="1"/>
    </xf>
    <xf numFmtId="179" fontId="5" fillId="2" borderId="21" xfId="1" applyNumberFormat="1" applyFont="1" applyFill="1" applyBorder="1" applyAlignment="1">
      <alignment horizontal="center" vertical="center" shrinkToFit="1"/>
    </xf>
    <xf numFmtId="179" fontId="5" fillId="2" borderId="24" xfId="1" applyNumberFormat="1" applyFont="1" applyFill="1" applyBorder="1" applyAlignment="1">
      <alignment horizontal="center" vertical="center" shrinkToFit="1"/>
    </xf>
    <xf numFmtId="0" fontId="5" fillId="0" borderId="52" xfId="1" applyFont="1" applyBorder="1" applyAlignment="1">
      <alignment horizontal="center" vertical="center"/>
    </xf>
    <xf numFmtId="0" fontId="5" fillId="0" borderId="53" xfId="1" applyFont="1" applyBorder="1" applyAlignment="1">
      <alignment horizontal="center" vertical="center"/>
    </xf>
    <xf numFmtId="0" fontId="5" fillId="0" borderId="51" xfId="1" applyFont="1" applyBorder="1" applyAlignment="1">
      <alignment horizontal="center" vertical="center"/>
    </xf>
    <xf numFmtId="0" fontId="10" fillId="2" borderId="28" xfId="1" applyFont="1" applyFill="1" applyBorder="1" applyAlignment="1">
      <alignment horizontal="center" vertical="center" wrapText="1"/>
    </xf>
    <xf numFmtId="0" fontId="10" fillId="2" borderId="28" xfId="1" applyFont="1" applyFill="1" applyBorder="1" applyAlignment="1">
      <alignment horizontal="center" vertical="center"/>
    </xf>
    <xf numFmtId="0" fontId="10" fillId="2" borderId="13"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5" xfId="1" applyFont="1" applyFill="1" applyBorder="1" applyAlignment="1">
      <alignment horizontal="center" vertical="center"/>
    </xf>
    <xf numFmtId="0" fontId="10" fillId="2" borderId="6" xfId="1" applyFont="1" applyFill="1" applyBorder="1" applyAlignment="1">
      <alignment horizontal="center" vertical="center"/>
    </xf>
    <xf numFmtId="0" fontId="10" fillId="2" borderId="44" xfId="1" applyFont="1" applyFill="1" applyBorder="1" applyAlignment="1">
      <alignment horizontal="center" vertical="center"/>
    </xf>
    <xf numFmtId="0" fontId="10" fillId="2" borderId="0" xfId="1" applyFont="1" applyFill="1" applyAlignment="1">
      <alignment horizontal="center" vertical="center"/>
    </xf>
    <xf numFmtId="0" fontId="10" fillId="2" borderId="45" xfId="1" applyFont="1" applyFill="1" applyBorder="1" applyAlignment="1">
      <alignment horizontal="center" vertical="center"/>
    </xf>
    <xf numFmtId="0" fontId="10" fillId="2" borderId="11" xfId="1" applyFont="1" applyFill="1" applyBorder="1" applyAlignment="1">
      <alignment horizontal="center" vertical="center"/>
    </xf>
    <xf numFmtId="0" fontId="10" fillId="2" borderId="15" xfId="1" applyFont="1" applyFill="1" applyBorder="1" applyAlignment="1">
      <alignment horizontal="center" vertical="center"/>
    </xf>
    <xf numFmtId="177" fontId="8" fillId="0" borderId="32" xfId="1" applyNumberFormat="1" applyFont="1" applyBorder="1" applyAlignment="1">
      <alignment horizontal="center" vertical="center"/>
    </xf>
    <xf numFmtId="177" fontId="8" fillId="0" borderId="34" xfId="1" applyNumberFormat="1" applyFont="1" applyBorder="1" applyAlignment="1">
      <alignment horizontal="center" vertical="center"/>
    </xf>
    <xf numFmtId="177" fontId="8" fillId="0" borderId="14" xfId="1" applyNumberFormat="1" applyFont="1" applyBorder="1" applyAlignment="1">
      <alignment horizontal="center" vertical="center"/>
    </xf>
    <xf numFmtId="177" fontId="8" fillId="0" borderId="16" xfId="1" applyNumberFormat="1" applyFont="1" applyBorder="1" applyAlignment="1">
      <alignment horizontal="center" vertical="center"/>
    </xf>
    <xf numFmtId="177" fontId="8" fillId="0" borderId="7" xfId="1" applyNumberFormat="1" applyFont="1" applyBorder="1" applyAlignment="1">
      <alignment horizontal="center" vertical="center"/>
    </xf>
    <xf numFmtId="177" fontId="8" fillId="0" borderId="6" xfId="1" applyNumberFormat="1" applyFont="1" applyBorder="1" applyAlignment="1">
      <alignment horizontal="center" vertical="center"/>
    </xf>
  </cellXfs>
  <cellStyles count="6">
    <cellStyle name="パーセント" xfId="5" builtinId="5"/>
    <cellStyle name="パーセント 2" xfId="3" xr:uid="{00000000-0005-0000-0000-000000000000}"/>
    <cellStyle name="桁区切り" xfId="4" builtinId="6"/>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xdr:col>
      <xdr:colOff>57150</xdr:colOff>
      <xdr:row>12</xdr:row>
      <xdr:rowOff>28575</xdr:rowOff>
    </xdr:from>
    <xdr:to>
      <xdr:col>3</xdr:col>
      <xdr:colOff>981075</xdr:colOff>
      <xdr:row>21</xdr:row>
      <xdr:rowOff>76200</xdr:rowOff>
    </xdr:to>
    <xdr:sp macro="" textlink="">
      <xdr:nvSpPr>
        <xdr:cNvPr id="2" name="テキスト ボックス 1">
          <a:extLst>
            <a:ext uri="{FF2B5EF4-FFF2-40B4-BE49-F238E27FC236}">
              <a16:creationId xmlns:a16="http://schemas.microsoft.com/office/drawing/2014/main" id="{17C35BBC-EB58-4C62-AFFA-FD952971836C}"/>
            </a:ext>
          </a:extLst>
        </xdr:cNvPr>
        <xdr:cNvSpPr txBox="1"/>
      </xdr:nvSpPr>
      <xdr:spPr>
        <a:xfrm>
          <a:off x="1952625" y="2847975"/>
          <a:ext cx="923925" cy="1933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事業実施中の負担金（一般会計地区）は、国が立替</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44824</xdr:colOff>
      <xdr:row>13</xdr:row>
      <xdr:rowOff>78441</xdr:rowOff>
    </xdr:from>
    <xdr:to>
      <xdr:col>4</xdr:col>
      <xdr:colOff>968749</xdr:colOff>
      <xdr:row>22</xdr:row>
      <xdr:rowOff>95810</xdr:rowOff>
    </xdr:to>
    <xdr:sp macro="" textlink="">
      <xdr:nvSpPr>
        <xdr:cNvPr id="2" name="テキスト ボックス 1">
          <a:extLst>
            <a:ext uri="{FF2B5EF4-FFF2-40B4-BE49-F238E27FC236}">
              <a16:creationId xmlns:a16="http://schemas.microsoft.com/office/drawing/2014/main" id="{3D07D51F-2968-4D63-A157-44AB23CD85C4}"/>
            </a:ext>
          </a:extLst>
        </xdr:cNvPr>
        <xdr:cNvSpPr txBox="1"/>
      </xdr:nvSpPr>
      <xdr:spPr>
        <a:xfrm>
          <a:off x="1921249" y="3831291"/>
          <a:ext cx="895350" cy="19033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事業実施中の負担金（一般会計地区）は、国が立替</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8312A-0E6D-4AD9-B804-EF8FBF2A5ECF}">
  <sheetPr>
    <pageSetUpPr fitToPage="1"/>
  </sheetPr>
  <dimension ref="A1:I42"/>
  <sheetViews>
    <sheetView showGridLines="0" tabSelected="1" view="pageBreakPreview" zoomScale="70" zoomScaleNormal="85" zoomScaleSheetLayoutView="70" workbookViewId="0">
      <selection activeCell="C5" sqref="C5:D5"/>
    </sheetView>
  </sheetViews>
  <sheetFormatPr defaultColWidth="2.375" defaultRowHeight="16.899999999999999" customHeight="1" x14ac:dyDescent="0.15"/>
  <cols>
    <col min="1" max="1" width="3.25" style="1" customWidth="1"/>
    <col min="2" max="2" width="13.375" style="1" customWidth="1"/>
    <col min="3" max="3" width="8.25" style="1" customWidth="1"/>
    <col min="4" max="5" width="13.375" style="1" customWidth="1"/>
    <col min="6" max="6" width="11.375" style="1" customWidth="1"/>
    <col min="7" max="7" width="14.875" style="1" customWidth="1"/>
    <col min="8" max="8" width="15.25" style="1" customWidth="1"/>
    <col min="9" max="9" width="14" style="1" customWidth="1"/>
    <col min="10" max="10" width="2.375" style="1"/>
    <col min="11" max="11" width="62.375" style="1" customWidth="1"/>
    <col min="12" max="16384" width="2.375" style="1"/>
  </cols>
  <sheetData>
    <row r="1" spans="1:9" ht="24" customHeight="1" x14ac:dyDescent="0.15">
      <c r="B1" s="194" t="s">
        <v>0</v>
      </c>
      <c r="C1" s="194"/>
      <c r="D1" s="194"/>
      <c r="E1" s="194"/>
      <c r="F1" s="194"/>
      <c r="G1" s="194"/>
      <c r="H1" s="194"/>
      <c r="I1" s="194"/>
    </row>
    <row r="2" spans="1:9" ht="24" customHeight="1" x14ac:dyDescent="0.15">
      <c r="B2" s="195" t="s">
        <v>1</v>
      </c>
      <c r="C2" s="195"/>
      <c r="D2" s="195"/>
      <c r="E2" s="195"/>
      <c r="F2" s="195"/>
      <c r="G2" s="195"/>
      <c r="H2" s="195"/>
      <c r="I2" s="195"/>
    </row>
    <row r="3" spans="1:9" ht="16.899999999999999" customHeight="1" x14ac:dyDescent="0.15">
      <c r="B3" s="12"/>
      <c r="C3" s="12"/>
      <c r="D3" s="12"/>
      <c r="E3" s="12"/>
      <c r="F3" s="12"/>
      <c r="G3" s="12"/>
      <c r="H3" s="12"/>
    </row>
    <row r="4" spans="1:9" ht="16.899999999999999" customHeight="1" x14ac:dyDescent="0.15">
      <c r="B4" s="123" t="s">
        <v>2</v>
      </c>
      <c r="C4" s="196" t="s">
        <v>3</v>
      </c>
      <c r="D4" s="197"/>
      <c r="E4" s="198" t="s">
        <v>4</v>
      </c>
      <c r="F4" s="199"/>
      <c r="G4" s="12"/>
      <c r="H4" s="12"/>
    </row>
    <row r="5" spans="1:9" ht="16.899999999999999" customHeight="1" x14ac:dyDescent="0.15">
      <c r="B5" s="123" t="s">
        <v>5</v>
      </c>
      <c r="C5" s="200">
        <v>1000000</v>
      </c>
      <c r="D5" s="201"/>
      <c r="E5" s="202" t="s">
        <v>6</v>
      </c>
      <c r="F5" s="203"/>
      <c r="G5" s="203"/>
      <c r="H5" s="203"/>
      <c r="I5" s="203"/>
    </row>
    <row r="6" spans="1:9" ht="16.899999999999999" customHeight="1" x14ac:dyDescent="0.15">
      <c r="B6" s="123" t="s">
        <v>7</v>
      </c>
      <c r="C6" s="180">
        <v>1.0999999999999999E-2</v>
      </c>
      <c r="D6" s="181"/>
      <c r="E6" s="182" t="s">
        <v>84</v>
      </c>
      <c r="F6" s="183"/>
      <c r="G6" s="183"/>
      <c r="H6" s="183"/>
      <c r="I6" s="183"/>
    </row>
    <row r="7" spans="1:9" ht="16.899999999999999" customHeight="1" x14ac:dyDescent="0.15">
      <c r="B7" s="123" t="s">
        <v>8</v>
      </c>
      <c r="C7" s="184">
        <v>2</v>
      </c>
      <c r="D7" s="185"/>
      <c r="E7" s="124"/>
      <c r="F7" s="30"/>
      <c r="G7" s="30"/>
    </row>
    <row r="8" spans="1:9" ht="16.899999999999999" customHeight="1" x14ac:dyDescent="0.15">
      <c r="B8" s="123" t="s">
        <v>9</v>
      </c>
      <c r="C8" s="186">
        <v>15</v>
      </c>
      <c r="D8" s="187"/>
      <c r="E8" s="93"/>
    </row>
    <row r="9" spans="1:9" ht="16.899999999999999" customHeight="1" x14ac:dyDescent="0.15">
      <c r="B9" s="125" t="s">
        <v>82</v>
      </c>
      <c r="C9" s="188">
        <v>0.2</v>
      </c>
      <c r="D9" s="189"/>
      <c r="E9" s="93" t="s">
        <v>10</v>
      </c>
    </row>
    <row r="10" spans="1:9" ht="16.899999999999999" customHeight="1" x14ac:dyDescent="0.15">
      <c r="B10" s="12"/>
      <c r="C10" s="12"/>
      <c r="D10" s="12"/>
      <c r="E10" s="12"/>
      <c r="F10" s="12"/>
      <c r="G10" s="12"/>
      <c r="H10" s="12"/>
      <c r="I10" s="8" t="s">
        <v>11</v>
      </c>
    </row>
    <row r="11" spans="1:9" ht="21" customHeight="1" x14ac:dyDescent="0.15">
      <c r="A11" s="190" t="s">
        <v>12</v>
      </c>
      <c r="B11" s="190"/>
      <c r="C11" s="173" t="s">
        <v>13</v>
      </c>
      <c r="D11" s="191" t="s">
        <v>14</v>
      </c>
      <c r="E11" s="6"/>
      <c r="F11" s="7"/>
      <c r="G11" s="193" t="s">
        <v>15</v>
      </c>
      <c r="H11" s="173" t="s">
        <v>85</v>
      </c>
      <c r="I11" s="173" t="s">
        <v>16</v>
      </c>
    </row>
    <row r="12" spans="1:9" ht="21" customHeight="1" x14ac:dyDescent="0.15">
      <c r="A12" s="190"/>
      <c r="B12" s="190"/>
      <c r="C12" s="174"/>
      <c r="D12" s="192"/>
      <c r="E12" s="126" t="s">
        <v>17</v>
      </c>
      <c r="F12" s="126" t="s">
        <v>18</v>
      </c>
      <c r="G12" s="174"/>
      <c r="H12" s="174"/>
      <c r="I12" s="174"/>
    </row>
    <row r="13" spans="1:9" ht="16.899999999999999" customHeight="1" x14ac:dyDescent="0.15">
      <c r="A13" s="175" t="s">
        <v>19</v>
      </c>
      <c r="B13" s="127" t="s">
        <v>20</v>
      </c>
      <c r="C13" s="128"/>
      <c r="D13" s="129"/>
      <c r="E13" s="129"/>
      <c r="F13" s="129"/>
      <c r="G13" s="130"/>
      <c r="H13" s="130"/>
      <c r="I13" s="130"/>
    </row>
    <row r="14" spans="1:9" ht="16.899999999999999" customHeight="1" x14ac:dyDescent="0.15">
      <c r="A14" s="175"/>
      <c r="B14" s="127" t="s">
        <v>21</v>
      </c>
      <c r="C14" s="131"/>
      <c r="D14" s="132"/>
      <c r="E14" s="129"/>
      <c r="F14" s="129"/>
      <c r="G14" s="133"/>
      <c r="H14" s="133"/>
      <c r="I14" s="133"/>
    </row>
    <row r="15" spans="1:9" ht="16.899999999999999" customHeight="1" x14ac:dyDescent="0.15">
      <c r="A15" s="175"/>
      <c r="B15" s="127" t="s">
        <v>22</v>
      </c>
      <c r="C15" s="131"/>
      <c r="D15" s="132"/>
      <c r="E15" s="129"/>
      <c r="F15" s="129"/>
      <c r="G15" s="133"/>
      <c r="H15" s="133"/>
      <c r="I15" s="133"/>
    </row>
    <row r="16" spans="1:9" ht="16.899999999999999" customHeight="1" x14ac:dyDescent="0.15">
      <c r="A16" s="175"/>
      <c r="B16" s="127" t="s">
        <v>23</v>
      </c>
      <c r="C16" s="131"/>
      <c r="D16" s="132"/>
      <c r="E16" s="129"/>
      <c r="F16" s="129"/>
      <c r="G16" s="133"/>
      <c r="H16" s="133"/>
      <c r="I16" s="133"/>
    </row>
    <row r="17" spans="1:9" ht="16.899999999999999" customHeight="1" x14ac:dyDescent="0.15">
      <c r="A17" s="175"/>
      <c r="B17" s="127" t="s">
        <v>24</v>
      </c>
      <c r="C17" s="131"/>
      <c r="D17" s="132"/>
      <c r="E17" s="129"/>
      <c r="F17" s="129"/>
      <c r="G17" s="133"/>
      <c r="H17" s="133"/>
      <c r="I17" s="133"/>
    </row>
    <row r="18" spans="1:9" ht="16.899999999999999" customHeight="1" x14ac:dyDescent="0.15">
      <c r="A18" s="175"/>
      <c r="B18" s="127" t="s">
        <v>25</v>
      </c>
      <c r="C18" s="131"/>
      <c r="D18" s="132"/>
      <c r="E18" s="129"/>
      <c r="F18" s="129"/>
      <c r="G18" s="133"/>
      <c r="H18" s="133"/>
      <c r="I18" s="133"/>
    </row>
    <row r="19" spans="1:9" ht="16.899999999999999" customHeight="1" x14ac:dyDescent="0.15">
      <c r="A19" s="175"/>
      <c r="B19" s="127" t="s">
        <v>26</v>
      </c>
      <c r="C19" s="131"/>
      <c r="D19" s="132"/>
      <c r="E19" s="129"/>
      <c r="F19" s="129"/>
      <c r="G19" s="133"/>
      <c r="H19" s="133"/>
      <c r="I19" s="133"/>
    </row>
    <row r="20" spans="1:9" ht="16.899999999999999" customHeight="1" x14ac:dyDescent="0.15">
      <c r="A20" s="175"/>
      <c r="B20" s="127" t="s">
        <v>27</v>
      </c>
      <c r="C20" s="131"/>
      <c r="D20" s="132"/>
      <c r="E20" s="129"/>
      <c r="F20" s="129"/>
      <c r="G20" s="133"/>
      <c r="H20" s="133"/>
      <c r="I20" s="133"/>
    </row>
    <row r="21" spans="1:9" ht="16.899999999999999" customHeight="1" x14ac:dyDescent="0.15">
      <c r="A21" s="175"/>
      <c r="B21" s="127" t="s">
        <v>28</v>
      </c>
      <c r="C21" s="131"/>
      <c r="D21" s="132"/>
      <c r="E21" s="129"/>
      <c r="F21" s="129"/>
      <c r="G21" s="133"/>
      <c r="H21" s="133"/>
      <c r="I21" s="133"/>
    </row>
    <row r="22" spans="1:9" ht="16.899999999999999" customHeight="1" thickBot="1" x14ac:dyDescent="0.2">
      <c r="A22" s="176"/>
      <c r="B22" s="134" t="s">
        <v>29</v>
      </c>
      <c r="C22" s="135"/>
      <c r="D22" s="136"/>
      <c r="E22" s="137"/>
      <c r="F22" s="137"/>
      <c r="G22" s="138"/>
      <c r="H22" s="138"/>
      <c r="I22" s="138"/>
    </row>
    <row r="23" spans="1:9" ht="16.899999999999999" customHeight="1" thickTop="1" x14ac:dyDescent="0.15">
      <c r="A23" s="177" t="s">
        <v>30</v>
      </c>
      <c r="B23" s="139" t="s">
        <v>31</v>
      </c>
      <c r="C23" s="140"/>
      <c r="D23" s="141">
        <f>C$5*C$6</f>
        <v>11000</v>
      </c>
      <c r="E23" s="142">
        <v>0</v>
      </c>
      <c r="F23" s="141">
        <f>D23</f>
        <v>11000</v>
      </c>
      <c r="G23" s="141">
        <f>C5-E23</f>
        <v>1000000</v>
      </c>
      <c r="H23" s="169"/>
      <c r="I23" s="67">
        <f>D23-H23</f>
        <v>11000</v>
      </c>
    </row>
    <row r="24" spans="1:9" ht="16.899999999999999" customHeight="1" x14ac:dyDescent="0.15">
      <c r="A24" s="175"/>
      <c r="B24" s="127" t="s">
        <v>32</v>
      </c>
      <c r="C24" s="143"/>
      <c r="D24" s="144">
        <f>C$5*C$6</f>
        <v>11000</v>
      </c>
      <c r="E24" s="145">
        <v>0</v>
      </c>
      <c r="F24" s="144">
        <f>D24</f>
        <v>11000</v>
      </c>
      <c r="G24" s="144">
        <f>$C$5-E24</f>
        <v>1000000</v>
      </c>
      <c r="H24" s="141">
        <f>D23*C9</f>
        <v>2200</v>
      </c>
      <c r="I24" s="41">
        <f t="shared" ref="I24:I41" si="0">D24-H24</f>
        <v>8800</v>
      </c>
    </row>
    <row r="25" spans="1:9" ht="16.899999999999999" customHeight="1" x14ac:dyDescent="0.15">
      <c r="A25" s="175"/>
      <c r="B25" s="127" t="s">
        <v>33</v>
      </c>
      <c r="C25" s="143">
        <v>1</v>
      </c>
      <c r="D25" s="144">
        <f t="shared" ref="D25:D39" si="1">ABS(PMT(($C$6),$C$8,$C$5))</f>
        <v>72683.021489898456</v>
      </c>
      <c r="E25" s="145">
        <f>ABS(PPMT(($C$6),C25,$C$8,$C$5))</f>
        <v>61683.021489898456</v>
      </c>
      <c r="F25" s="144">
        <f>ABS(IPMT(($C$6),C25,$C$8,$C$5))</f>
        <v>10999.999999999998</v>
      </c>
      <c r="G25" s="144">
        <f t="shared" ref="G25:G39" si="2">G24-E25</f>
        <v>938316.97851010156</v>
      </c>
      <c r="H25" s="141">
        <f>D24*C9</f>
        <v>2200</v>
      </c>
      <c r="I25" s="41">
        <f t="shared" si="0"/>
        <v>70483.021489898456</v>
      </c>
    </row>
    <row r="26" spans="1:9" ht="16.899999999999999" customHeight="1" x14ac:dyDescent="0.15">
      <c r="A26" s="175"/>
      <c r="B26" s="127" t="s">
        <v>34</v>
      </c>
      <c r="C26" s="143">
        <v>2</v>
      </c>
      <c r="D26" s="144">
        <f>ABS(PMT(($C$6),$C$8,$C$5))</f>
        <v>72683.021489898456</v>
      </c>
      <c r="E26" s="145">
        <f t="shared" ref="E26:E39" si="3">ABS(PPMT(($C$6),C26,$C$8,$C$5))</f>
        <v>62361.53472628734</v>
      </c>
      <c r="F26" s="144">
        <f t="shared" ref="F26:F39" si="4">ABS(IPMT(($C$6),C26,$C$8,$C$5))</f>
        <v>10321.486763611116</v>
      </c>
      <c r="G26" s="144">
        <f>G25-E26</f>
        <v>875955.4437838142</v>
      </c>
      <c r="H26" s="141">
        <f t="shared" ref="H26:H40" si="5">D25*C$9</f>
        <v>14536.604297979691</v>
      </c>
      <c r="I26" s="41">
        <f t="shared" si="0"/>
        <v>58146.417191918765</v>
      </c>
    </row>
    <row r="27" spans="1:9" ht="16.899999999999999" customHeight="1" x14ac:dyDescent="0.15">
      <c r="A27" s="175"/>
      <c r="B27" s="127" t="s">
        <v>35</v>
      </c>
      <c r="C27" s="143">
        <v>3</v>
      </c>
      <c r="D27" s="144">
        <f t="shared" si="1"/>
        <v>72683.021489898456</v>
      </c>
      <c r="E27" s="145">
        <f t="shared" si="3"/>
        <v>63047.511608276494</v>
      </c>
      <c r="F27" s="144">
        <f t="shared" si="4"/>
        <v>9635.5098816219561</v>
      </c>
      <c r="G27" s="144">
        <f t="shared" si="2"/>
        <v>812907.93217553769</v>
      </c>
      <c r="H27" s="141">
        <f t="shared" si="5"/>
        <v>14536.604297979691</v>
      </c>
      <c r="I27" s="41">
        <f t="shared" si="0"/>
        <v>58146.417191918765</v>
      </c>
    </row>
    <row r="28" spans="1:9" ht="16.899999999999999" customHeight="1" x14ac:dyDescent="0.15">
      <c r="A28" s="175"/>
      <c r="B28" s="127" t="s">
        <v>36</v>
      </c>
      <c r="C28" s="143">
        <v>4</v>
      </c>
      <c r="D28" s="144">
        <f t="shared" si="1"/>
        <v>72683.021489898456</v>
      </c>
      <c r="E28" s="145">
        <f t="shared" si="3"/>
        <v>63741.034235967541</v>
      </c>
      <c r="F28" s="144">
        <f t="shared" si="4"/>
        <v>8941.9872539309163</v>
      </c>
      <c r="G28" s="144">
        <f t="shared" si="2"/>
        <v>749166.89793957013</v>
      </c>
      <c r="H28" s="141">
        <f t="shared" si="5"/>
        <v>14536.604297979691</v>
      </c>
      <c r="I28" s="41">
        <f t="shared" si="0"/>
        <v>58146.417191918765</v>
      </c>
    </row>
    <row r="29" spans="1:9" ht="16.899999999999999" customHeight="1" x14ac:dyDescent="0.15">
      <c r="A29" s="175"/>
      <c r="B29" s="127" t="s">
        <v>37</v>
      </c>
      <c r="C29" s="143">
        <v>5</v>
      </c>
      <c r="D29" s="144">
        <f t="shared" si="1"/>
        <v>72683.021489898456</v>
      </c>
      <c r="E29" s="145">
        <f t="shared" si="3"/>
        <v>64442.185612563182</v>
      </c>
      <c r="F29" s="144">
        <f t="shared" si="4"/>
        <v>8240.8358773352702</v>
      </c>
      <c r="G29" s="144">
        <f t="shared" si="2"/>
        <v>684724.71232700697</v>
      </c>
      <c r="H29" s="141">
        <f t="shared" si="5"/>
        <v>14536.604297979691</v>
      </c>
      <c r="I29" s="41">
        <f t="shared" si="0"/>
        <v>58146.417191918765</v>
      </c>
    </row>
    <row r="30" spans="1:9" ht="16.899999999999999" customHeight="1" x14ac:dyDescent="0.15">
      <c r="A30" s="175"/>
      <c r="B30" s="127" t="s">
        <v>38</v>
      </c>
      <c r="C30" s="143">
        <v>6</v>
      </c>
      <c r="D30" s="144">
        <f t="shared" si="1"/>
        <v>72683.021489898456</v>
      </c>
      <c r="E30" s="145">
        <f t="shared" si="3"/>
        <v>65151.049654301372</v>
      </c>
      <c r="F30" s="144">
        <f t="shared" si="4"/>
        <v>7531.9718355970763</v>
      </c>
      <c r="G30" s="144">
        <f t="shared" si="2"/>
        <v>619573.6626727056</v>
      </c>
      <c r="H30" s="141">
        <f t="shared" si="5"/>
        <v>14536.604297979691</v>
      </c>
      <c r="I30" s="41">
        <f t="shared" si="0"/>
        <v>58146.417191918765</v>
      </c>
    </row>
    <row r="31" spans="1:9" ht="16.899999999999999" customHeight="1" x14ac:dyDescent="0.15">
      <c r="A31" s="175"/>
      <c r="B31" s="127" t="s">
        <v>39</v>
      </c>
      <c r="C31" s="143">
        <v>7</v>
      </c>
      <c r="D31" s="144">
        <f t="shared" si="1"/>
        <v>72683.021489898456</v>
      </c>
      <c r="E31" s="145">
        <f t="shared" si="3"/>
        <v>65867.711200498699</v>
      </c>
      <c r="F31" s="144">
        <f t="shared" si="4"/>
        <v>6815.3102893997611</v>
      </c>
      <c r="G31" s="144">
        <f t="shared" si="2"/>
        <v>553705.95147220686</v>
      </c>
      <c r="H31" s="141">
        <f t="shared" si="5"/>
        <v>14536.604297979691</v>
      </c>
      <c r="I31" s="41">
        <f t="shared" si="0"/>
        <v>58146.417191918765</v>
      </c>
    </row>
    <row r="32" spans="1:9" ht="16.899999999999999" customHeight="1" x14ac:dyDescent="0.15">
      <c r="A32" s="175"/>
      <c r="B32" s="127" t="s">
        <v>40</v>
      </c>
      <c r="C32" s="143">
        <v>8</v>
      </c>
      <c r="D32" s="144">
        <f t="shared" si="1"/>
        <v>72683.021489898456</v>
      </c>
      <c r="E32" s="145">
        <f t="shared" si="3"/>
        <v>66592.256023704176</v>
      </c>
      <c r="F32" s="144">
        <f t="shared" si="4"/>
        <v>6090.7654661942761</v>
      </c>
      <c r="G32" s="144">
        <f t="shared" si="2"/>
        <v>487113.69544850267</v>
      </c>
      <c r="H32" s="141">
        <f t="shared" si="5"/>
        <v>14536.604297979691</v>
      </c>
      <c r="I32" s="41">
        <f t="shared" si="0"/>
        <v>58146.417191918765</v>
      </c>
    </row>
    <row r="33" spans="1:9" ht="16.899999999999999" customHeight="1" x14ac:dyDescent="0.15">
      <c r="A33" s="175"/>
      <c r="B33" s="127" t="s">
        <v>41</v>
      </c>
      <c r="C33" s="143">
        <v>9</v>
      </c>
      <c r="D33" s="144">
        <f t="shared" si="1"/>
        <v>72683.021489898456</v>
      </c>
      <c r="E33" s="145">
        <f t="shared" si="3"/>
        <v>67324.770839964927</v>
      </c>
      <c r="F33" s="144">
        <f t="shared" si="4"/>
        <v>5358.2506499335304</v>
      </c>
      <c r="G33" s="144">
        <f t="shared" si="2"/>
        <v>419788.92460853775</v>
      </c>
      <c r="H33" s="141">
        <f t="shared" si="5"/>
        <v>14536.604297979691</v>
      </c>
      <c r="I33" s="41">
        <f t="shared" si="0"/>
        <v>58146.417191918765</v>
      </c>
    </row>
    <row r="34" spans="1:9" ht="16.899999999999999" customHeight="1" x14ac:dyDescent="0.15">
      <c r="A34" s="175"/>
      <c r="B34" s="127" t="s">
        <v>42</v>
      </c>
      <c r="C34" s="143">
        <v>10</v>
      </c>
      <c r="D34" s="144">
        <f t="shared" si="1"/>
        <v>72683.021489898456</v>
      </c>
      <c r="E34" s="145">
        <f t="shared" si="3"/>
        <v>68065.343319204534</v>
      </c>
      <c r="F34" s="144">
        <f t="shared" si="4"/>
        <v>4617.6781706939173</v>
      </c>
      <c r="G34" s="144">
        <f t="shared" si="2"/>
        <v>351723.58128933323</v>
      </c>
      <c r="H34" s="141">
        <f t="shared" si="5"/>
        <v>14536.604297979691</v>
      </c>
      <c r="I34" s="41">
        <f t="shared" si="0"/>
        <v>58146.417191918765</v>
      </c>
    </row>
    <row r="35" spans="1:9" ht="16.899999999999999" customHeight="1" x14ac:dyDescent="0.15">
      <c r="A35" s="175"/>
      <c r="B35" s="127" t="s">
        <v>43</v>
      </c>
      <c r="C35" s="143">
        <v>11</v>
      </c>
      <c r="D35" s="144">
        <f t="shared" si="1"/>
        <v>72683.021489898456</v>
      </c>
      <c r="E35" s="145">
        <f t="shared" si="3"/>
        <v>68814.062095715781</v>
      </c>
      <c r="F35" s="144">
        <f t="shared" si="4"/>
        <v>3868.9593941826661</v>
      </c>
      <c r="G35" s="144">
        <f t="shared" si="2"/>
        <v>282909.51919361745</v>
      </c>
      <c r="H35" s="141">
        <f t="shared" si="5"/>
        <v>14536.604297979691</v>
      </c>
      <c r="I35" s="41">
        <f t="shared" si="0"/>
        <v>58146.417191918765</v>
      </c>
    </row>
    <row r="36" spans="1:9" ht="16.899999999999999" customHeight="1" x14ac:dyDescent="0.15">
      <c r="A36" s="175"/>
      <c r="B36" s="127" t="s">
        <v>44</v>
      </c>
      <c r="C36" s="143">
        <v>12</v>
      </c>
      <c r="D36" s="144">
        <f t="shared" si="1"/>
        <v>72683.021489898456</v>
      </c>
      <c r="E36" s="145">
        <f t="shared" si="3"/>
        <v>69571.016778768651</v>
      </c>
      <c r="F36" s="144">
        <f t="shared" si="4"/>
        <v>3112.0047111297931</v>
      </c>
      <c r="G36" s="144">
        <f t="shared" si="2"/>
        <v>213338.5024148488</v>
      </c>
      <c r="H36" s="141">
        <f t="shared" si="5"/>
        <v>14536.604297979691</v>
      </c>
      <c r="I36" s="41">
        <f t="shared" si="0"/>
        <v>58146.417191918765</v>
      </c>
    </row>
    <row r="37" spans="1:9" ht="16.899999999999999" customHeight="1" x14ac:dyDescent="0.15">
      <c r="A37" s="175"/>
      <c r="B37" s="127" t="s">
        <v>45</v>
      </c>
      <c r="C37" s="143">
        <v>13</v>
      </c>
      <c r="D37" s="144">
        <f t="shared" si="1"/>
        <v>72683.021489898456</v>
      </c>
      <c r="E37" s="145">
        <f t="shared" si="3"/>
        <v>70336.297963335121</v>
      </c>
      <c r="F37" s="144">
        <f t="shared" si="4"/>
        <v>2346.7235265633385</v>
      </c>
      <c r="G37" s="144">
        <f t="shared" si="2"/>
        <v>143002.20445151368</v>
      </c>
      <c r="H37" s="141">
        <f t="shared" si="5"/>
        <v>14536.604297979691</v>
      </c>
      <c r="I37" s="41">
        <f t="shared" si="0"/>
        <v>58146.417191918765</v>
      </c>
    </row>
    <row r="38" spans="1:9" ht="16.899999999999999" customHeight="1" x14ac:dyDescent="0.15">
      <c r="A38" s="175"/>
      <c r="B38" s="127" t="s">
        <v>46</v>
      </c>
      <c r="C38" s="143">
        <v>14</v>
      </c>
      <c r="D38" s="144">
        <f t="shared" si="1"/>
        <v>72683.021489898456</v>
      </c>
      <c r="E38" s="145">
        <f t="shared" si="3"/>
        <v>71109.9972409318</v>
      </c>
      <c r="F38" s="144">
        <f t="shared" si="4"/>
        <v>1573.0242489666521</v>
      </c>
      <c r="G38" s="144">
        <f t="shared" si="2"/>
        <v>71892.207210581881</v>
      </c>
      <c r="H38" s="141">
        <f t="shared" si="5"/>
        <v>14536.604297979691</v>
      </c>
      <c r="I38" s="41">
        <f t="shared" si="0"/>
        <v>58146.417191918765</v>
      </c>
    </row>
    <row r="39" spans="1:9" ht="16.899999999999999" customHeight="1" x14ac:dyDescent="0.15">
      <c r="A39" s="175"/>
      <c r="B39" s="127" t="s">
        <v>47</v>
      </c>
      <c r="C39" s="143">
        <v>15</v>
      </c>
      <c r="D39" s="144">
        <f t="shared" si="1"/>
        <v>72683.021489898456</v>
      </c>
      <c r="E39" s="145">
        <f t="shared" si="3"/>
        <v>71892.207210582055</v>
      </c>
      <c r="F39" s="144">
        <f t="shared" si="4"/>
        <v>790.81427931640235</v>
      </c>
      <c r="G39" s="9">
        <f t="shared" si="2"/>
        <v>-1.7462298274040222E-10</v>
      </c>
      <c r="H39" s="141">
        <f t="shared" si="5"/>
        <v>14536.604297979691</v>
      </c>
      <c r="I39" s="41">
        <f t="shared" si="0"/>
        <v>58146.417191918765</v>
      </c>
    </row>
    <row r="40" spans="1:9" ht="16.899999999999999" customHeight="1" x14ac:dyDescent="0.15">
      <c r="A40" s="178"/>
      <c r="B40" s="146" t="s">
        <v>48</v>
      </c>
      <c r="C40" s="147"/>
      <c r="D40" s="148"/>
      <c r="E40" s="149"/>
      <c r="F40" s="148"/>
      <c r="G40" s="148"/>
      <c r="H40" s="141">
        <f t="shared" si="5"/>
        <v>14536.604297979691</v>
      </c>
      <c r="I40" s="170">
        <f t="shared" ref="I40" si="6">D40-H40</f>
        <v>-14536.604297979691</v>
      </c>
    </row>
    <row r="41" spans="1:9" ht="16.899999999999999" customHeight="1" thickBot="1" x14ac:dyDescent="0.2">
      <c r="A41" s="178"/>
      <c r="B41" s="146" t="s">
        <v>62</v>
      </c>
      <c r="C41" s="147"/>
      <c r="D41" s="148"/>
      <c r="E41" s="149"/>
      <c r="F41" s="148"/>
      <c r="G41" s="148"/>
      <c r="H41" s="141">
        <f t="shared" ref="H41" si="7">D40*C$9</f>
        <v>0</v>
      </c>
      <c r="I41" s="170">
        <f t="shared" si="0"/>
        <v>0</v>
      </c>
    </row>
    <row r="42" spans="1:9" ht="16.899999999999999" customHeight="1" thickTop="1" x14ac:dyDescent="0.15">
      <c r="A42" s="179" t="s">
        <v>49</v>
      </c>
      <c r="B42" s="179"/>
      <c r="C42" s="179"/>
      <c r="D42" s="150">
        <f>SUM(D23:D41)</f>
        <v>1112245.3223484769</v>
      </c>
      <c r="E42" s="150">
        <f>SUM(E23:E41)</f>
        <v>1000000.0000000002</v>
      </c>
      <c r="F42" s="150">
        <f>SUM(F23:F41)</f>
        <v>112245.32234847666</v>
      </c>
      <c r="G42" s="150"/>
      <c r="H42" s="150">
        <f>SUM(H24:H41)</f>
        <v>222449.06446969527</v>
      </c>
      <c r="I42" s="150">
        <f>SUM(I23:I41)</f>
        <v>889796.25787878106</v>
      </c>
    </row>
  </sheetData>
  <mergeCells count="20">
    <mergeCell ref="B1:I1"/>
    <mergeCell ref="B2:I2"/>
    <mergeCell ref="C4:D4"/>
    <mergeCell ref="E4:F4"/>
    <mergeCell ref="C5:D5"/>
    <mergeCell ref="E5:I5"/>
    <mergeCell ref="I11:I12"/>
    <mergeCell ref="A13:A22"/>
    <mergeCell ref="A23:A41"/>
    <mergeCell ref="A42:C42"/>
    <mergeCell ref="C6:D6"/>
    <mergeCell ref="E6:I6"/>
    <mergeCell ref="C7:D7"/>
    <mergeCell ref="C8:D8"/>
    <mergeCell ref="C9:D9"/>
    <mergeCell ref="A11:B12"/>
    <mergeCell ref="C11:C12"/>
    <mergeCell ref="D11:D12"/>
    <mergeCell ref="G11:G12"/>
    <mergeCell ref="H11:H12"/>
  </mergeCells>
  <phoneticPr fontId="3"/>
  <pageMargins left="0.70866141732283472" right="0.70866141732283472" top="0.43307086614173229" bottom="0.23622047244094491" header="0.31496062992125984" footer="0.31496062992125984"/>
  <pageSetup paperSize="9" scale="83" fitToHeight="0" orientation="portrait"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399E5-8F40-4CE0-974A-1DD1654354C5}">
  <dimension ref="A1:N46"/>
  <sheetViews>
    <sheetView showGridLines="0" view="pageBreakPreview" zoomScale="70" zoomScaleNormal="70" zoomScaleSheetLayoutView="70" workbookViewId="0">
      <selection activeCell="E4" sqref="E4"/>
    </sheetView>
  </sheetViews>
  <sheetFormatPr defaultColWidth="2.375" defaultRowHeight="16.899999999999999" customHeight="1" x14ac:dyDescent="0.15"/>
  <cols>
    <col min="1" max="1" width="2.375" style="1"/>
    <col min="2" max="3" width="6.125" style="1" customWidth="1"/>
    <col min="4" max="4" width="10" style="1" customWidth="1"/>
    <col min="5" max="5" width="12.375" style="1" customWidth="1"/>
    <col min="6" max="7" width="10.625" style="1" customWidth="1"/>
    <col min="8" max="10" width="10.625" style="2" customWidth="1"/>
    <col min="11" max="11" width="11.25" style="1" bestFit="1" customWidth="1"/>
    <col min="12" max="12" width="10.625" style="1" customWidth="1"/>
    <col min="13" max="13" width="10.625" style="2" customWidth="1"/>
    <col min="14" max="14" width="10.625" style="1" customWidth="1"/>
    <col min="15" max="15" width="2.375" style="1"/>
    <col min="16" max="16" width="90.375" style="1" customWidth="1"/>
    <col min="17" max="16384" width="2.375" style="1"/>
  </cols>
  <sheetData>
    <row r="1" spans="1:14" ht="24" customHeight="1" x14ac:dyDescent="0.15">
      <c r="B1" s="194" t="s">
        <v>50</v>
      </c>
      <c r="C1" s="194"/>
      <c r="D1" s="194"/>
      <c r="E1" s="194"/>
      <c r="F1" s="194"/>
      <c r="G1" s="194"/>
      <c r="H1" s="194"/>
      <c r="I1" s="194"/>
      <c r="J1" s="194"/>
      <c r="K1" s="194"/>
      <c r="L1" s="194"/>
      <c r="M1" s="194"/>
      <c r="N1" s="194"/>
    </row>
    <row r="2" spans="1:14" ht="24" customHeight="1" x14ac:dyDescent="0.15">
      <c r="B2" s="195" t="s">
        <v>51</v>
      </c>
      <c r="C2" s="195"/>
      <c r="D2" s="195"/>
      <c r="E2" s="195"/>
      <c r="F2" s="195"/>
      <c r="G2" s="195"/>
      <c r="H2" s="195"/>
      <c r="I2" s="195"/>
      <c r="J2" s="195"/>
      <c r="K2" s="195"/>
      <c r="L2" s="195"/>
      <c r="M2" s="195"/>
      <c r="N2" s="195"/>
    </row>
    <row r="3" spans="1:14" ht="16.899999999999999" customHeight="1" x14ac:dyDescent="0.15">
      <c r="B3" s="204" t="s">
        <v>2</v>
      </c>
      <c r="C3" s="204"/>
      <c r="D3" s="204"/>
      <c r="E3" s="91" t="s">
        <v>3</v>
      </c>
      <c r="F3" s="205" t="s">
        <v>78</v>
      </c>
      <c r="G3" s="205"/>
      <c r="H3" s="205"/>
      <c r="I3" s="205"/>
      <c r="J3" s="205"/>
      <c r="K3" s="205"/>
      <c r="L3" s="205"/>
      <c r="M3" s="205"/>
      <c r="N3" s="205"/>
    </row>
    <row r="4" spans="1:14" ht="16.899999999999999" customHeight="1" x14ac:dyDescent="0.15">
      <c r="B4" s="204" t="s">
        <v>5</v>
      </c>
      <c r="C4" s="204"/>
      <c r="D4" s="204"/>
      <c r="E4" s="167">
        <v>10000000</v>
      </c>
      <c r="F4" s="203" t="s">
        <v>77</v>
      </c>
      <c r="G4" s="203"/>
      <c r="H4" s="203"/>
      <c r="I4" s="203"/>
      <c r="J4" s="203"/>
      <c r="K4" s="203"/>
      <c r="L4" s="203"/>
      <c r="M4" s="203"/>
      <c r="N4" s="203"/>
    </row>
    <row r="5" spans="1:14" ht="16.899999999999999" customHeight="1" x14ac:dyDescent="0.15">
      <c r="B5" s="204" t="s">
        <v>52</v>
      </c>
      <c r="C5" s="204"/>
      <c r="D5" s="204"/>
      <c r="E5" s="19">
        <v>0.9</v>
      </c>
      <c r="F5" s="20"/>
      <c r="G5" s="16"/>
      <c r="H5" s="16"/>
      <c r="I5" s="15"/>
      <c r="J5" s="92"/>
      <c r="K5" s="16"/>
      <c r="L5" s="16"/>
      <c r="M5" s="92"/>
      <c r="N5" s="16"/>
    </row>
    <row r="6" spans="1:14" ht="16.899999999999999" customHeight="1" x14ac:dyDescent="0.15">
      <c r="B6" s="206" t="s">
        <v>53</v>
      </c>
      <c r="C6" s="207"/>
      <c r="D6" s="21" t="s">
        <v>7</v>
      </c>
      <c r="E6" s="160">
        <v>2.9000000000000001E-2</v>
      </c>
      <c r="F6" s="212" t="s">
        <v>83</v>
      </c>
      <c r="G6" s="212"/>
      <c r="H6" s="212"/>
      <c r="I6" s="212"/>
      <c r="J6" s="212"/>
      <c r="K6" s="212"/>
      <c r="L6" s="212"/>
      <c r="M6" s="212"/>
      <c r="N6" s="212"/>
    </row>
    <row r="7" spans="1:14" ht="16.899999999999999" customHeight="1" x14ac:dyDescent="0.15">
      <c r="B7" s="208"/>
      <c r="C7" s="209"/>
      <c r="D7" s="21" t="s">
        <v>8</v>
      </c>
      <c r="E7" s="161">
        <v>3</v>
      </c>
      <c r="F7" s="216" t="s">
        <v>80</v>
      </c>
      <c r="G7" s="217"/>
      <c r="H7" s="217"/>
      <c r="I7" s="217"/>
      <c r="J7" s="217"/>
      <c r="K7" s="217"/>
      <c r="L7" s="217"/>
      <c r="M7" s="217"/>
      <c r="N7" s="217"/>
    </row>
    <row r="8" spans="1:14" ht="16.899999999999999" customHeight="1" x14ac:dyDescent="0.15">
      <c r="B8" s="210"/>
      <c r="C8" s="211"/>
      <c r="D8" s="21" t="s">
        <v>9</v>
      </c>
      <c r="E8" s="162">
        <v>17</v>
      </c>
      <c r="F8" s="216"/>
      <c r="G8" s="217"/>
      <c r="H8" s="217"/>
      <c r="I8" s="217"/>
      <c r="J8" s="217"/>
      <c r="K8" s="217"/>
      <c r="L8" s="217"/>
      <c r="M8" s="217"/>
      <c r="N8" s="217"/>
    </row>
    <row r="9" spans="1:14" ht="16.899999999999999" customHeight="1" x14ac:dyDescent="0.15">
      <c r="B9" s="213" t="s">
        <v>74</v>
      </c>
      <c r="C9" s="214"/>
      <c r="D9" s="215"/>
      <c r="E9" s="163">
        <f>4/9*0.5</f>
        <v>0.22222222222222221</v>
      </c>
      <c r="F9" s="164" t="s">
        <v>76</v>
      </c>
      <c r="G9" s="165"/>
      <c r="H9" s="165"/>
      <c r="I9" s="165"/>
      <c r="J9" s="166"/>
      <c r="K9" s="165"/>
      <c r="L9" s="165"/>
      <c r="M9" s="166"/>
      <c r="N9" s="165"/>
    </row>
    <row r="10" spans="1:14" ht="16.899999999999999" customHeight="1" x14ac:dyDescent="0.15">
      <c r="B10" s="30"/>
      <c r="C10" s="30"/>
      <c r="D10" s="26"/>
      <c r="E10" s="26"/>
      <c r="F10" s="26"/>
      <c r="G10" s="26"/>
      <c r="H10" s="94"/>
      <c r="I10" s="95"/>
      <c r="K10" s="26"/>
      <c r="L10" s="26"/>
      <c r="M10" s="218" t="s">
        <v>11</v>
      </c>
      <c r="N10" s="218"/>
    </row>
    <row r="11" spans="1:14" ht="16.899999999999999" customHeight="1" x14ac:dyDescent="0.15">
      <c r="A11" s="219" t="s">
        <v>12</v>
      </c>
      <c r="B11" s="220"/>
      <c r="C11" s="221"/>
      <c r="D11" s="227" t="s">
        <v>13</v>
      </c>
      <c r="E11" s="229" t="s">
        <v>54</v>
      </c>
      <c r="F11" s="220"/>
      <c r="G11" s="220"/>
      <c r="H11" s="220"/>
      <c r="I11" s="220"/>
      <c r="J11" s="220"/>
      <c r="K11" s="230"/>
      <c r="L11" s="231" t="s">
        <v>55</v>
      </c>
      <c r="M11" s="232" t="s">
        <v>73</v>
      </c>
      <c r="N11" s="235" t="s">
        <v>56</v>
      </c>
    </row>
    <row r="12" spans="1:14" ht="16.899999999999999" customHeight="1" x14ac:dyDescent="0.15">
      <c r="A12" s="222"/>
      <c r="B12" s="223"/>
      <c r="C12" s="224"/>
      <c r="D12" s="228"/>
      <c r="E12" s="236" t="s">
        <v>57</v>
      </c>
      <c r="F12" s="96"/>
      <c r="G12" s="97"/>
      <c r="H12" s="98" t="s">
        <v>58</v>
      </c>
      <c r="I12" s="99"/>
      <c r="J12" s="100"/>
      <c r="K12" s="237" t="s">
        <v>59</v>
      </c>
      <c r="L12" s="231"/>
      <c r="M12" s="233"/>
      <c r="N12" s="235"/>
    </row>
    <row r="13" spans="1:14" ht="16.899999999999999" customHeight="1" x14ac:dyDescent="0.15">
      <c r="A13" s="192"/>
      <c r="B13" s="225"/>
      <c r="C13" s="226"/>
      <c r="D13" s="228"/>
      <c r="E13" s="225"/>
      <c r="F13" s="38" t="s">
        <v>60</v>
      </c>
      <c r="G13" s="101" t="s">
        <v>61</v>
      </c>
      <c r="H13" s="102"/>
      <c r="I13" s="103" t="s">
        <v>17</v>
      </c>
      <c r="J13" s="103" t="s">
        <v>18</v>
      </c>
      <c r="K13" s="238"/>
      <c r="L13" s="231"/>
      <c r="M13" s="234"/>
      <c r="N13" s="235"/>
    </row>
    <row r="14" spans="1:14" ht="16.899999999999999" customHeight="1" x14ac:dyDescent="0.15">
      <c r="A14" s="244" t="s">
        <v>19</v>
      </c>
      <c r="B14" s="239" t="s">
        <v>20</v>
      </c>
      <c r="C14" s="240"/>
      <c r="D14" s="104"/>
      <c r="E14" s="105"/>
      <c r="F14" s="81"/>
      <c r="G14" s="81"/>
      <c r="H14" s="106"/>
      <c r="I14" s="14"/>
      <c r="J14" s="81"/>
      <c r="K14" s="107"/>
      <c r="L14" s="106"/>
      <c r="M14" s="81"/>
      <c r="N14" s="81"/>
    </row>
    <row r="15" spans="1:14" ht="16.899999999999999" customHeight="1" x14ac:dyDescent="0.15">
      <c r="A15" s="244"/>
      <c r="B15" s="239" t="s">
        <v>21</v>
      </c>
      <c r="C15" s="240"/>
      <c r="D15" s="104"/>
      <c r="E15" s="105"/>
      <c r="F15" s="81"/>
      <c r="G15" s="81"/>
      <c r="H15" s="106"/>
      <c r="I15" s="14"/>
      <c r="J15" s="81"/>
      <c r="K15" s="107"/>
      <c r="L15" s="106"/>
      <c r="M15" s="81"/>
      <c r="N15" s="81"/>
    </row>
    <row r="16" spans="1:14" ht="16.899999999999999" customHeight="1" x14ac:dyDescent="0.15">
      <c r="A16" s="244"/>
      <c r="B16" s="239" t="s">
        <v>22</v>
      </c>
      <c r="C16" s="240"/>
      <c r="D16" s="104"/>
      <c r="E16" s="105"/>
      <c r="F16" s="81"/>
      <c r="G16" s="81"/>
      <c r="H16" s="106"/>
      <c r="I16" s="14"/>
      <c r="J16" s="81"/>
      <c r="K16" s="107"/>
      <c r="L16" s="106"/>
      <c r="M16" s="81"/>
      <c r="N16" s="81"/>
    </row>
    <row r="17" spans="1:14" ht="16.899999999999999" customHeight="1" x14ac:dyDescent="0.15">
      <c r="A17" s="244"/>
      <c r="B17" s="239" t="s">
        <v>23</v>
      </c>
      <c r="C17" s="240"/>
      <c r="D17" s="104"/>
      <c r="E17" s="105"/>
      <c r="F17" s="81"/>
      <c r="G17" s="81"/>
      <c r="H17" s="106"/>
      <c r="I17" s="14"/>
      <c r="J17" s="81"/>
      <c r="K17" s="107"/>
      <c r="L17" s="106"/>
      <c r="M17" s="81"/>
      <c r="N17" s="81"/>
    </row>
    <row r="18" spans="1:14" ht="16.899999999999999" customHeight="1" x14ac:dyDescent="0.15">
      <c r="A18" s="244"/>
      <c r="B18" s="239" t="s">
        <v>24</v>
      </c>
      <c r="C18" s="240"/>
      <c r="D18" s="104"/>
      <c r="E18" s="105"/>
      <c r="F18" s="81"/>
      <c r="G18" s="81"/>
      <c r="H18" s="106"/>
      <c r="I18" s="14"/>
      <c r="J18" s="81"/>
      <c r="K18" s="107"/>
      <c r="L18" s="106"/>
      <c r="M18" s="81"/>
      <c r="N18" s="81"/>
    </row>
    <row r="19" spans="1:14" ht="16.899999999999999" customHeight="1" x14ac:dyDescent="0.15">
      <c r="A19" s="244"/>
      <c r="B19" s="239" t="s">
        <v>25</v>
      </c>
      <c r="C19" s="240"/>
      <c r="D19" s="104"/>
      <c r="E19" s="105"/>
      <c r="F19" s="81"/>
      <c r="G19" s="81"/>
      <c r="H19" s="106"/>
      <c r="I19" s="14"/>
      <c r="J19" s="81"/>
      <c r="K19" s="107"/>
      <c r="L19" s="106"/>
      <c r="M19" s="81"/>
      <c r="N19" s="81"/>
    </row>
    <row r="20" spans="1:14" ht="16.899999999999999" customHeight="1" x14ac:dyDescent="0.15">
      <c r="A20" s="244"/>
      <c r="B20" s="239" t="s">
        <v>26</v>
      </c>
      <c r="C20" s="240"/>
      <c r="D20" s="104"/>
      <c r="E20" s="105"/>
      <c r="F20" s="81"/>
      <c r="G20" s="81"/>
      <c r="H20" s="106"/>
      <c r="I20" s="14"/>
      <c r="J20" s="81"/>
      <c r="K20" s="107"/>
      <c r="L20" s="106"/>
      <c r="M20" s="81"/>
      <c r="N20" s="81"/>
    </row>
    <row r="21" spans="1:14" ht="16.899999999999999" customHeight="1" x14ac:dyDescent="0.15">
      <c r="A21" s="244"/>
      <c r="B21" s="239" t="s">
        <v>27</v>
      </c>
      <c r="C21" s="240"/>
      <c r="D21" s="104"/>
      <c r="E21" s="105"/>
      <c r="F21" s="81"/>
      <c r="G21" s="81"/>
      <c r="H21" s="106"/>
      <c r="I21" s="14"/>
      <c r="J21" s="81"/>
      <c r="K21" s="107"/>
      <c r="L21" s="106"/>
      <c r="M21" s="81"/>
      <c r="N21" s="81"/>
    </row>
    <row r="22" spans="1:14" ht="16.899999999999999" customHeight="1" x14ac:dyDescent="0.15">
      <c r="A22" s="244"/>
      <c r="B22" s="239" t="s">
        <v>28</v>
      </c>
      <c r="C22" s="240"/>
      <c r="D22" s="104"/>
      <c r="E22" s="105"/>
      <c r="F22" s="81"/>
      <c r="G22" s="81"/>
      <c r="H22" s="106"/>
      <c r="I22" s="14"/>
      <c r="J22" s="81"/>
      <c r="K22" s="107"/>
      <c r="L22" s="106"/>
      <c r="M22" s="81"/>
      <c r="N22" s="81"/>
    </row>
    <row r="23" spans="1:14" ht="16.899999999999999" customHeight="1" thickBot="1" x14ac:dyDescent="0.2">
      <c r="A23" s="248"/>
      <c r="B23" s="241" t="s">
        <v>29</v>
      </c>
      <c r="C23" s="242"/>
      <c r="D23" s="108"/>
      <c r="E23" s="109"/>
      <c r="F23" s="110"/>
      <c r="G23" s="110"/>
      <c r="H23" s="111"/>
      <c r="I23" s="112"/>
      <c r="J23" s="110"/>
      <c r="K23" s="113"/>
      <c r="L23" s="111"/>
      <c r="M23" s="110"/>
      <c r="N23" s="110"/>
    </row>
    <row r="24" spans="1:14" ht="16.899999999999999" customHeight="1" thickTop="1" x14ac:dyDescent="0.15">
      <c r="A24" s="243" t="s">
        <v>30</v>
      </c>
      <c r="B24" s="246" t="s">
        <v>31</v>
      </c>
      <c r="C24" s="247"/>
      <c r="D24" s="114"/>
      <c r="E24" s="115">
        <f>E4</f>
        <v>10000000</v>
      </c>
      <c r="F24" s="116">
        <f>E24-G24</f>
        <v>1000000</v>
      </c>
      <c r="G24" s="116">
        <f>E24*E5</f>
        <v>9000000</v>
      </c>
      <c r="H24" s="86">
        <f>G$24*E$6</f>
        <v>261000</v>
      </c>
      <c r="I24" s="117">
        <v>0</v>
      </c>
      <c r="J24" s="70">
        <f>G$24*E$6</f>
        <v>261000</v>
      </c>
      <c r="K24" s="118">
        <f>F24+H24</f>
        <v>1261000</v>
      </c>
      <c r="L24" s="119">
        <f>G24-I24</f>
        <v>9000000</v>
      </c>
      <c r="M24" s="81"/>
      <c r="N24" s="116">
        <f>K24-M24</f>
        <v>1261000</v>
      </c>
    </row>
    <row r="25" spans="1:14" ht="16.899999999999999" customHeight="1" x14ac:dyDescent="0.15">
      <c r="A25" s="244"/>
      <c r="B25" s="239" t="s">
        <v>32</v>
      </c>
      <c r="C25" s="240"/>
      <c r="D25" s="104"/>
      <c r="E25" s="105"/>
      <c r="F25" s="81"/>
      <c r="G25" s="81"/>
      <c r="H25" s="106">
        <f>G$24*E$6</f>
        <v>261000</v>
      </c>
      <c r="I25" s="14">
        <v>0</v>
      </c>
      <c r="J25" s="82">
        <f>G$24*E$6</f>
        <v>261000</v>
      </c>
      <c r="K25" s="118">
        <f>F25+H25</f>
        <v>261000</v>
      </c>
      <c r="L25" s="106">
        <f t="shared" ref="L25:L42" si="0">L24-I25</f>
        <v>9000000</v>
      </c>
      <c r="M25" s="81">
        <f>H24*$E$9</f>
        <v>58000</v>
      </c>
      <c r="N25" s="116">
        <f>K25-M25</f>
        <v>203000</v>
      </c>
    </row>
    <row r="26" spans="1:14" ht="16.899999999999999" customHeight="1" x14ac:dyDescent="0.15">
      <c r="A26" s="244"/>
      <c r="B26" s="239" t="s">
        <v>33</v>
      </c>
      <c r="C26" s="240"/>
      <c r="D26" s="104"/>
      <c r="E26" s="105"/>
      <c r="F26" s="81"/>
      <c r="G26" s="81"/>
      <c r="H26" s="106">
        <f>G$24*E$6</f>
        <v>261000</v>
      </c>
      <c r="I26" s="120">
        <v>0</v>
      </c>
      <c r="J26" s="82">
        <f>G$24*E$6</f>
        <v>261000</v>
      </c>
      <c r="K26" s="118">
        <f t="shared" ref="K26:K36" si="1">F26+H26</f>
        <v>261000</v>
      </c>
      <c r="L26" s="106">
        <f t="shared" si="0"/>
        <v>9000000</v>
      </c>
      <c r="M26" s="81">
        <f t="shared" ref="M26:M43" si="2">H25*$E$9</f>
        <v>58000</v>
      </c>
      <c r="N26" s="116">
        <f>K26-M26</f>
        <v>203000</v>
      </c>
    </row>
    <row r="27" spans="1:14" ht="16.899999999999999" customHeight="1" x14ac:dyDescent="0.15">
      <c r="A27" s="244"/>
      <c r="B27" s="239" t="s">
        <v>34</v>
      </c>
      <c r="C27" s="240"/>
      <c r="D27" s="104">
        <v>1</v>
      </c>
      <c r="E27" s="105"/>
      <c r="F27" s="81"/>
      <c r="G27" s="81"/>
      <c r="H27" s="119">
        <f>ABS(PMT(($E$6),$E$8,$G$24))</f>
        <v>678080.4970112897</v>
      </c>
      <c r="I27" s="120">
        <f>ABS(PPMT(($E$6),D27,$E$8,$G$24))</f>
        <v>417080.4970112897</v>
      </c>
      <c r="J27" s="116">
        <f>ABS(IPMT(($E$6),D27,$E$8,$G$24))</f>
        <v>261000</v>
      </c>
      <c r="K27" s="118">
        <f t="shared" si="1"/>
        <v>678080.4970112897</v>
      </c>
      <c r="L27" s="106">
        <f>L26-I27</f>
        <v>8582919.502988711</v>
      </c>
      <c r="M27" s="81">
        <f t="shared" si="2"/>
        <v>58000</v>
      </c>
      <c r="N27" s="116">
        <f>K27-M27</f>
        <v>620080.4970112897</v>
      </c>
    </row>
    <row r="28" spans="1:14" ht="16.899999999999999" customHeight="1" x14ac:dyDescent="0.15">
      <c r="A28" s="244"/>
      <c r="B28" s="239" t="s">
        <v>35</v>
      </c>
      <c r="C28" s="240"/>
      <c r="D28" s="104">
        <v>2</v>
      </c>
      <c r="E28" s="105"/>
      <c r="F28" s="81"/>
      <c r="G28" s="81"/>
      <c r="H28" s="119">
        <f t="shared" ref="H28:H43" si="3">ABS(PMT(($E$6),$E$8,$G$24))</f>
        <v>678080.4970112897</v>
      </c>
      <c r="I28" s="120">
        <f>ABS(PPMT(($E$6),D28,$E$8,$G$24))</f>
        <v>429175.83142461709</v>
      </c>
      <c r="J28" s="116">
        <f>ABS(IPMT(($E$6),D28,$E$8,$G$24))</f>
        <v>248904.66558667264</v>
      </c>
      <c r="K28" s="118">
        <f t="shared" si="1"/>
        <v>678080.4970112897</v>
      </c>
      <c r="L28" s="106">
        <f>L27-I28</f>
        <v>8153743.6715640938</v>
      </c>
      <c r="M28" s="81">
        <f t="shared" si="2"/>
        <v>150684.55489139771</v>
      </c>
      <c r="N28" s="116">
        <f t="shared" ref="N28:N41" si="4">K28-M28</f>
        <v>527395.94211989199</v>
      </c>
    </row>
    <row r="29" spans="1:14" ht="16.899999999999999" customHeight="1" x14ac:dyDescent="0.15">
      <c r="A29" s="244"/>
      <c r="B29" s="239" t="s">
        <v>36</v>
      </c>
      <c r="C29" s="240"/>
      <c r="D29" s="104">
        <v>3</v>
      </c>
      <c r="E29" s="105"/>
      <c r="F29" s="81"/>
      <c r="G29" s="81"/>
      <c r="H29" s="119">
        <f t="shared" si="3"/>
        <v>678080.4970112897</v>
      </c>
      <c r="I29" s="120">
        <f t="shared" ref="I29:I32" si="5">ABS(PPMT(($E$6),D29,$E$8,$G$24))</f>
        <v>441621.93053593102</v>
      </c>
      <c r="J29" s="116">
        <f t="shared" ref="J29" si="6">ABS(IPMT(($E$6),D29,$E$8,$G$24))</f>
        <v>236458.56647535876</v>
      </c>
      <c r="K29" s="118">
        <f t="shared" si="1"/>
        <v>678080.4970112897</v>
      </c>
      <c r="L29" s="106">
        <f t="shared" si="0"/>
        <v>7712121.7410281627</v>
      </c>
      <c r="M29" s="81">
        <f t="shared" si="2"/>
        <v>150684.55489139771</v>
      </c>
      <c r="N29" s="116">
        <f t="shared" si="4"/>
        <v>527395.94211989199</v>
      </c>
    </row>
    <row r="30" spans="1:14" ht="16.899999999999999" customHeight="1" x14ac:dyDescent="0.15">
      <c r="A30" s="244"/>
      <c r="B30" s="239" t="s">
        <v>37</v>
      </c>
      <c r="C30" s="240"/>
      <c r="D30" s="104">
        <v>4</v>
      </c>
      <c r="E30" s="105"/>
      <c r="F30" s="81"/>
      <c r="G30" s="81"/>
      <c r="H30" s="119">
        <f t="shared" si="3"/>
        <v>678080.4970112897</v>
      </c>
      <c r="I30" s="120">
        <f t="shared" si="5"/>
        <v>454428.96652147296</v>
      </c>
      <c r="J30" s="116">
        <f t="shared" ref="J30:J43" si="7">ABS(IPMT(($E$6),D30,$E$8,$G$24))</f>
        <v>223651.53048981677</v>
      </c>
      <c r="K30" s="118">
        <f t="shared" si="1"/>
        <v>678080.4970112897</v>
      </c>
      <c r="L30" s="106">
        <f t="shared" si="0"/>
        <v>7257692.77450669</v>
      </c>
      <c r="M30" s="81">
        <f t="shared" si="2"/>
        <v>150684.55489139771</v>
      </c>
      <c r="N30" s="116">
        <f t="shared" si="4"/>
        <v>527395.94211989199</v>
      </c>
    </row>
    <row r="31" spans="1:14" ht="16.899999999999999" customHeight="1" x14ac:dyDescent="0.15">
      <c r="A31" s="244"/>
      <c r="B31" s="239" t="s">
        <v>38</v>
      </c>
      <c r="C31" s="240"/>
      <c r="D31" s="104">
        <v>5</v>
      </c>
      <c r="E31" s="105"/>
      <c r="F31" s="81"/>
      <c r="G31" s="81"/>
      <c r="H31" s="119">
        <f t="shared" si="3"/>
        <v>678080.4970112897</v>
      </c>
      <c r="I31" s="120">
        <f t="shared" si="5"/>
        <v>467607.40655059571</v>
      </c>
      <c r="J31" s="116">
        <f t="shared" si="7"/>
        <v>210473.09046069399</v>
      </c>
      <c r="K31" s="118">
        <f t="shared" si="1"/>
        <v>678080.4970112897</v>
      </c>
      <c r="L31" s="106">
        <f t="shared" si="0"/>
        <v>6790085.3679560944</v>
      </c>
      <c r="M31" s="81">
        <f t="shared" si="2"/>
        <v>150684.55489139771</v>
      </c>
      <c r="N31" s="116">
        <f t="shared" si="4"/>
        <v>527395.94211989199</v>
      </c>
    </row>
    <row r="32" spans="1:14" ht="16.899999999999999" customHeight="1" x14ac:dyDescent="0.15">
      <c r="A32" s="244"/>
      <c r="B32" s="239" t="s">
        <v>39</v>
      </c>
      <c r="C32" s="240"/>
      <c r="D32" s="104">
        <v>6</v>
      </c>
      <c r="E32" s="115"/>
      <c r="F32" s="116"/>
      <c r="G32" s="116"/>
      <c r="H32" s="119">
        <f t="shared" si="3"/>
        <v>678080.4970112897</v>
      </c>
      <c r="I32" s="120">
        <f t="shared" si="5"/>
        <v>481168.02134056296</v>
      </c>
      <c r="J32" s="116">
        <f t="shared" si="7"/>
        <v>196912.47567072677</v>
      </c>
      <c r="K32" s="118">
        <f t="shared" si="1"/>
        <v>678080.4970112897</v>
      </c>
      <c r="L32" s="106">
        <f t="shared" si="0"/>
        <v>6308917.3466155315</v>
      </c>
      <c r="M32" s="81">
        <f t="shared" si="2"/>
        <v>150684.55489139771</v>
      </c>
      <c r="N32" s="116">
        <f t="shared" si="4"/>
        <v>527395.94211989199</v>
      </c>
    </row>
    <row r="33" spans="1:14" ht="16.899999999999999" customHeight="1" x14ac:dyDescent="0.15">
      <c r="A33" s="244"/>
      <c r="B33" s="239" t="s">
        <v>40</v>
      </c>
      <c r="C33" s="240"/>
      <c r="D33" s="104">
        <v>7</v>
      </c>
      <c r="E33" s="115"/>
      <c r="F33" s="116"/>
      <c r="G33" s="116"/>
      <c r="H33" s="119">
        <f t="shared" si="3"/>
        <v>678080.4970112897</v>
      </c>
      <c r="I33" s="120">
        <f t="shared" ref="I33:I43" si="8">ABS(PPMT(($E$6),D33,$E$8,$G$24))</f>
        <v>495121.89395943936</v>
      </c>
      <c r="J33" s="116">
        <f t="shared" si="7"/>
        <v>182958.60305185043</v>
      </c>
      <c r="K33" s="118">
        <f t="shared" si="1"/>
        <v>678080.4970112897</v>
      </c>
      <c r="L33" s="106">
        <f t="shared" si="0"/>
        <v>5813795.4526560921</v>
      </c>
      <c r="M33" s="81">
        <f t="shared" si="2"/>
        <v>150684.55489139771</v>
      </c>
      <c r="N33" s="116">
        <f t="shared" si="4"/>
        <v>527395.94211989199</v>
      </c>
    </row>
    <row r="34" spans="1:14" ht="16.899999999999999" customHeight="1" x14ac:dyDescent="0.15">
      <c r="A34" s="244"/>
      <c r="B34" s="239" t="s">
        <v>41</v>
      </c>
      <c r="C34" s="240"/>
      <c r="D34" s="104">
        <v>8</v>
      </c>
      <c r="E34" s="115"/>
      <c r="F34" s="116"/>
      <c r="G34" s="116"/>
      <c r="H34" s="119">
        <f t="shared" si="3"/>
        <v>678080.4970112897</v>
      </c>
      <c r="I34" s="120">
        <f t="shared" si="8"/>
        <v>509480.42888426309</v>
      </c>
      <c r="J34" s="116">
        <f t="shared" si="7"/>
        <v>168600.06812702669</v>
      </c>
      <c r="K34" s="118">
        <f t="shared" si="1"/>
        <v>678080.4970112897</v>
      </c>
      <c r="L34" s="106">
        <f t="shared" si="0"/>
        <v>5304315.023771829</v>
      </c>
      <c r="M34" s="81">
        <f t="shared" si="2"/>
        <v>150684.55489139771</v>
      </c>
      <c r="N34" s="116">
        <f t="shared" si="4"/>
        <v>527395.94211989199</v>
      </c>
    </row>
    <row r="35" spans="1:14" ht="16.899999999999999" customHeight="1" x14ac:dyDescent="0.15">
      <c r="A35" s="244"/>
      <c r="B35" s="239" t="s">
        <v>42</v>
      </c>
      <c r="C35" s="240"/>
      <c r="D35" s="104">
        <v>9</v>
      </c>
      <c r="E35" s="115"/>
      <c r="F35" s="116"/>
      <c r="G35" s="116"/>
      <c r="H35" s="119">
        <f t="shared" si="3"/>
        <v>678080.4970112897</v>
      </c>
      <c r="I35" s="120">
        <f t="shared" si="8"/>
        <v>524255.36132190668</v>
      </c>
      <c r="J35" s="116">
        <f t="shared" si="7"/>
        <v>153825.13568938308</v>
      </c>
      <c r="K35" s="118">
        <f t="shared" si="1"/>
        <v>678080.4970112897</v>
      </c>
      <c r="L35" s="106">
        <f t="shared" si="0"/>
        <v>4780059.6624499224</v>
      </c>
      <c r="M35" s="81">
        <f t="shared" si="2"/>
        <v>150684.55489139771</v>
      </c>
      <c r="N35" s="116">
        <f t="shared" si="4"/>
        <v>527395.94211989199</v>
      </c>
    </row>
    <row r="36" spans="1:14" ht="16.899999999999999" customHeight="1" x14ac:dyDescent="0.15">
      <c r="A36" s="244"/>
      <c r="B36" s="239" t="s">
        <v>43</v>
      </c>
      <c r="C36" s="240"/>
      <c r="D36" s="104">
        <v>10</v>
      </c>
      <c r="E36" s="115"/>
      <c r="F36" s="116"/>
      <c r="G36" s="116"/>
      <c r="H36" s="119">
        <f t="shared" si="3"/>
        <v>678080.4970112897</v>
      </c>
      <c r="I36" s="120">
        <f t="shared" si="8"/>
        <v>539458.76680024201</v>
      </c>
      <c r="J36" s="116">
        <f t="shared" si="7"/>
        <v>138621.73021104772</v>
      </c>
      <c r="K36" s="118">
        <f t="shared" si="1"/>
        <v>678080.4970112897</v>
      </c>
      <c r="L36" s="106">
        <f t="shared" si="0"/>
        <v>4240600.8956496809</v>
      </c>
      <c r="M36" s="81">
        <f t="shared" si="2"/>
        <v>150684.55489139771</v>
      </c>
      <c r="N36" s="116">
        <f t="shared" si="4"/>
        <v>527395.94211989199</v>
      </c>
    </row>
    <row r="37" spans="1:14" ht="16.899999999999999" customHeight="1" x14ac:dyDescent="0.15">
      <c r="A37" s="244"/>
      <c r="B37" s="239" t="s">
        <v>44</v>
      </c>
      <c r="C37" s="240"/>
      <c r="D37" s="104">
        <v>11</v>
      </c>
      <c r="E37" s="115"/>
      <c r="F37" s="116"/>
      <c r="G37" s="116"/>
      <c r="H37" s="119">
        <f t="shared" si="3"/>
        <v>678080.4970112897</v>
      </c>
      <c r="I37" s="120">
        <f t="shared" si="8"/>
        <v>555103.07103744906</v>
      </c>
      <c r="J37" s="116">
        <f t="shared" si="7"/>
        <v>122977.42597384073</v>
      </c>
      <c r="K37" s="118">
        <f t="shared" ref="K37" si="9">F37+H37</f>
        <v>678080.4970112897</v>
      </c>
      <c r="L37" s="106">
        <f t="shared" si="0"/>
        <v>3685497.8246122319</v>
      </c>
      <c r="M37" s="81">
        <f t="shared" si="2"/>
        <v>150684.55489139771</v>
      </c>
      <c r="N37" s="116">
        <f t="shared" si="4"/>
        <v>527395.94211989199</v>
      </c>
    </row>
    <row r="38" spans="1:14" ht="16.899999999999999" customHeight="1" x14ac:dyDescent="0.15">
      <c r="A38" s="244"/>
      <c r="B38" s="239" t="s">
        <v>45</v>
      </c>
      <c r="C38" s="240"/>
      <c r="D38" s="104">
        <v>12</v>
      </c>
      <c r="E38" s="115"/>
      <c r="F38" s="116"/>
      <c r="G38" s="116"/>
      <c r="H38" s="119">
        <f t="shared" si="3"/>
        <v>678080.4970112897</v>
      </c>
      <c r="I38" s="120">
        <f t="shared" si="8"/>
        <v>571201.06009753502</v>
      </c>
      <c r="J38" s="116">
        <f t="shared" si="7"/>
        <v>106879.43691375472</v>
      </c>
      <c r="K38" s="118">
        <f t="shared" ref="K38:K43" si="10">F38+H38</f>
        <v>678080.4970112897</v>
      </c>
      <c r="L38" s="106">
        <f t="shared" si="0"/>
        <v>3114296.7645146968</v>
      </c>
      <c r="M38" s="81">
        <f t="shared" si="2"/>
        <v>150684.55489139771</v>
      </c>
      <c r="N38" s="116">
        <f t="shared" si="4"/>
        <v>527395.94211989199</v>
      </c>
    </row>
    <row r="39" spans="1:14" ht="16.899999999999999" customHeight="1" x14ac:dyDescent="0.15">
      <c r="A39" s="244"/>
      <c r="B39" s="239" t="s">
        <v>46</v>
      </c>
      <c r="C39" s="240"/>
      <c r="D39" s="104">
        <v>13</v>
      </c>
      <c r="E39" s="115"/>
      <c r="F39" s="116"/>
      <c r="G39" s="116"/>
      <c r="H39" s="119">
        <f t="shared" si="3"/>
        <v>678080.4970112897</v>
      </c>
      <c r="I39" s="120">
        <f t="shared" si="8"/>
        <v>587765.89084036357</v>
      </c>
      <c r="J39" s="116">
        <f t="shared" si="7"/>
        <v>90314.606170926185</v>
      </c>
      <c r="K39" s="118">
        <f t="shared" si="10"/>
        <v>678080.4970112897</v>
      </c>
      <c r="L39" s="106">
        <f t="shared" si="0"/>
        <v>2526530.8736743331</v>
      </c>
      <c r="M39" s="81">
        <f t="shared" si="2"/>
        <v>150684.55489139771</v>
      </c>
      <c r="N39" s="116">
        <f t="shared" si="4"/>
        <v>527395.94211989199</v>
      </c>
    </row>
    <row r="40" spans="1:14" ht="16.899999999999999" customHeight="1" x14ac:dyDescent="0.15">
      <c r="A40" s="244"/>
      <c r="B40" s="239" t="s">
        <v>47</v>
      </c>
      <c r="C40" s="240"/>
      <c r="D40" s="104">
        <v>14</v>
      </c>
      <c r="E40" s="115"/>
      <c r="F40" s="116"/>
      <c r="G40" s="116"/>
      <c r="H40" s="119">
        <f t="shared" si="3"/>
        <v>678080.4970112897</v>
      </c>
      <c r="I40" s="120">
        <f t="shared" si="8"/>
        <v>604811.10167473403</v>
      </c>
      <c r="J40" s="116">
        <f t="shared" si="7"/>
        <v>73269.395336555652</v>
      </c>
      <c r="K40" s="118">
        <f t="shared" si="10"/>
        <v>678080.4970112897</v>
      </c>
      <c r="L40" s="106">
        <f t="shared" si="0"/>
        <v>1921719.7719995989</v>
      </c>
      <c r="M40" s="81">
        <f t="shared" si="2"/>
        <v>150684.55489139771</v>
      </c>
      <c r="N40" s="116">
        <f t="shared" si="4"/>
        <v>527395.94211989199</v>
      </c>
    </row>
    <row r="41" spans="1:14" ht="16.899999999999999" customHeight="1" x14ac:dyDescent="0.15">
      <c r="A41" s="244"/>
      <c r="B41" s="239" t="s">
        <v>48</v>
      </c>
      <c r="C41" s="240"/>
      <c r="D41" s="104">
        <v>15</v>
      </c>
      <c r="E41" s="115"/>
      <c r="F41" s="116"/>
      <c r="G41" s="116"/>
      <c r="H41" s="119">
        <f t="shared" si="3"/>
        <v>678080.4970112897</v>
      </c>
      <c r="I41" s="120">
        <f t="shared" si="8"/>
        <v>622350.62362330139</v>
      </c>
      <c r="J41" s="116">
        <f t="shared" si="7"/>
        <v>55729.873387988366</v>
      </c>
      <c r="K41" s="118">
        <f t="shared" si="10"/>
        <v>678080.4970112897</v>
      </c>
      <c r="L41" s="106">
        <f t="shared" si="0"/>
        <v>1299369.1483762977</v>
      </c>
      <c r="M41" s="81">
        <f t="shared" si="2"/>
        <v>150684.55489139771</v>
      </c>
      <c r="N41" s="116">
        <f t="shared" si="4"/>
        <v>527395.94211989199</v>
      </c>
    </row>
    <row r="42" spans="1:14" ht="16.899999999999999" customHeight="1" x14ac:dyDescent="0.15">
      <c r="A42" s="244"/>
      <c r="B42" s="239" t="s">
        <v>62</v>
      </c>
      <c r="C42" s="240"/>
      <c r="D42" s="104">
        <v>16</v>
      </c>
      <c r="E42" s="115"/>
      <c r="F42" s="116"/>
      <c r="G42" s="116"/>
      <c r="H42" s="119">
        <f t="shared" si="3"/>
        <v>678080.4970112897</v>
      </c>
      <c r="I42" s="120">
        <f t="shared" si="8"/>
        <v>640398.79170837707</v>
      </c>
      <c r="J42" s="116">
        <f t="shared" si="7"/>
        <v>37681.705302912618</v>
      </c>
      <c r="K42" s="107">
        <f t="shared" si="10"/>
        <v>678080.4970112897</v>
      </c>
      <c r="L42" s="106">
        <f t="shared" si="0"/>
        <v>658970.3566679206</v>
      </c>
      <c r="M42" s="81">
        <f t="shared" si="2"/>
        <v>150684.55489139771</v>
      </c>
      <c r="N42" s="116">
        <f>K42-M42</f>
        <v>527395.94211989199</v>
      </c>
    </row>
    <row r="43" spans="1:14" ht="16.899999999999999" customHeight="1" x14ac:dyDescent="0.15">
      <c r="A43" s="244"/>
      <c r="B43" s="239" t="s">
        <v>63</v>
      </c>
      <c r="C43" s="240"/>
      <c r="D43" s="104">
        <v>17</v>
      </c>
      <c r="E43" s="115"/>
      <c r="F43" s="116"/>
      <c r="G43" s="116"/>
      <c r="H43" s="119">
        <f t="shared" si="3"/>
        <v>678080.4970112897</v>
      </c>
      <c r="I43" s="120">
        <f t="shared" si="8"/>
        <v>658970.35666792013</v>
      </c>
      <c r="J43" s="116">
        <f t="shared" si="7"/>
        <v>19110.14034336968</v>
      </c>
      <c r="K43" s="107">
        <f t="shared" si="10"/>
        <v>678080.4970112897</v>
      </c>
      <c r="L43" s="106">
        <f>L42-I43</f>
        <v>0</v>
      </c>
      <c r="M43" s="81">
        <f t="shared" si="2"/>
        <v>150684.55489139771</v>
      </c>
      <c r="N43" s="116">
        <f>K43-M43</f>
        <v>527395.94211989199</v>
      </c>
    </row>
    <row r="44" spans="1:14" ht="16.899999999999999" customHeight="1" x14ac:dyDescent="0.15">
      <c r="A44" s="244"/>
      <c r="B44" s="239" t="s">
        <v>64</v>
      </c>
      <c r="C44" s="240"/>
      <c r="D44" s="104"/>
      <c r="E44" s="115"/>
      <c r="F44" s="116"/>
      <c r="G44" s="116"/>
      <c r="H44" s="119"/>
      <c r="I44" s="120"/>
      <c r="J44" s="116"/>
      <c r="K44" s="107"/>
      <c r="L44" s="106"/>
      <c r="M44" s="81">
        <f>H43*$E$9</f>
        <v>150684.55489139771</v>
      </c>
      <c r="N44" s="116">
        <f>K44-M44</f>
        <v>-150684.55489139771</v>
      </c>
    </row>
    <row r="45" spans="1:14" ht="16.899999999999999" customHeight="1" thickBot="1" x14ac:dyDescent="0.2">
      <c r="A45" s="245"/>
      <c r="B45" s="249" t="s">
        <v>86</v>
      </c>
      <c r="C45" s="250"/>
      <c r="D45" s="171"/>
      <c r="E45" s="115"/>
      <c r="F45" s="116"/>
      <c r="G45" s="116"/>
      <c r="H45" s="119"/>
      <c r="I45" s="120"/>
      <c r="J45" s="116"/>
      <c r="K45" s="107"/>
      <c r="L45" s="106"/>
      <c r="M45" s="81">
        <f t="shared" ref="M45" si="11">H44*$E$9</f>
        <v>0</v>
      </c>
      <c r="N45" s="116">
        <f>K45-M45</f>
        <v>0</v>
      </c>
    </row>
    <row r="46" spans="1:14" ht="16.899999999999999" customHeight="1" thickTop="1" x14ac:dyDescent="0.15">
      <c r="A46" s="179" t="s">
        <v>49</v>
      </c>
      <c r="B46" s="179"/>
      <c r="C46" s="251"/>
      <c r="D46" s="252"/>
      <c r="E46" s="86">
        <f>SUM(E24:E45)</f>
        <v>10000000</v>
      </c>
      <c r="F46" s="87">
        <f t="shared" ref="F46:N46" si="12">SUM(F24:F45)</f>
        <v>1000000</v>
      </c>
      <c r="G46" s="121">
        <f t="shared" si="12"/>
        <v>9000000</v>
      </c>
      <c r="H46" s="86">
        <f t="shared" si="12"/>
        <v>12310368.449191922</v>
      </c>
      <c r="I46" s="90">
        <f t="shared" si="12"/>
        <v>9000000.0000000019</v>
      </c>
      <c r="J46" s="70">
        <f>SUM(J24:J45)</f>
        <v>3310368.4491919251</v>
      </c>
      <c r="K46" s="122">
        <f t="shared" si="12"/>
        <v>13310368.449191922</v>
      </c>
      <c r="L46" s="86"/>
      <c r="M46" s="90">
        <f t="shared" si="12"/>
        <v>2735637.4331537611</v>
      </c>
      <c r="N46" s="90">
        <f t="shared" si="12"/>
        <v>10574731.016038164</v>
      </c>
    </row>
  </sheetData>
  <mergeCells count="55">
    <mergeCell ref="B45:C45"/>
    <mergeCell ref="A46:D46"/>
    <mergeCell ref="B38:C38"/>
    <mergeCell ref="B39:C39"/>
    <mergeCell ref="B40:C40"/>
    <mergeCell ref="B41:C41"/>
    <mergeCell ref="B42:C42"/>
    <mergeCell ref="B43:C43"/>
    <mergeCell ref="B44:C44"/>
    <mergeCell ref="B32:C32"/>
    <mergeCell ref="B33:C33"/>
    <mergeCell ref="B34:C34"/>
    <mergeCell ref="B35:C35"/>
    <mergeCell ref="B36:C36"/>
    <mergeCell ref="B37:C37"/>
    <mergeCell ref="B23:C23"/>
    <mergeCell ref="A24:A45"/>
    <mergeCell ref="B24:C24"/>
    <mergeCell ref="B25:C25"/>
    <mergeCell ref="B26:C26"/>
    <mergeCell ref="B27:C27"/>
    <mergeCell ref="B28:C28"/>
    <mergeCell ref="B29:C29"/>
    <mergeCell ref="B30:C30"/>
    <mergeCell ref="B31:C31"/>
    <mergeCell ref="A14:A23"/>
    <mergeCell ref="B14:C14"/>
    <mergeCell ref="B15:C15"/>
    <mergeCell ref="B16:C16"/>
    <mergeCell ref="B17:C17"/>
    <mergeCell ref="B18:C18"/>
    <mergeCell ref="B19:C19"/>
    <mergeCell ref="B20:C20"/>
    <mergeCell ref="B21:C21"/>
    <mergeCell ref="B22:C22"/>
    <mergeCell ref="M10:N10"/>
    <mergeCell ref="A11:C13"/>
    <mergeCell ref="D11:D13"/>
    <mergeCell ref="E11:K11"/>
    <mergeCell ref="L11:L13"/>
    <mergeCell ref="M11:M13"/>
    <mergeCell ref="N11:N13"/>
    <mergeCell ref="E12:E13"/>
    <mergeCell ref="K12:K13"/>
    <mergeCell ref="B5:D5"/>
    <mergeCell ref="B6:C8"/>
    <mergeCell ref="F6:N6"/>
    <mergeCell ref="B9:D9"/>
    <mergeCell ref="F7:N8"/>
    <mergeCell ref="B1:N1"/>
    <mergeCell ref="B2:N2"/>
    <mergeCell ref="B3:D3"/>
    <mergeCell ref="F3:N3"/>
    <mergeCell ref="B4:D4"/>
    <mergeCell ref="F4:N4"/>
  </mergeCells>
  <phoneticPr fontId="3"/>
  <pageMargins left="0.31496062992125984" right="0.31496062992125984" top="0.43307086614173229" bottom="0.23622047244094491" header="0.31496062992125984" footer="0.31496062992125984"/>
  <pageSetup paperSize="9" scale="74" orientation="portrait"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EAB0F-F046-4471-AF8E-6BF4127D83B3}">
  <sheetPr>
    <pageSetUpPr fitToPage="1"/>
  </sheetPr>
  <dimension ref="A1:BB46"/>
  <sheetViews>
    <sheetView showGridLines="0" view="pageBreakPreview" zoomScale="85" zoomScaleNormal="70" zoomScaleSheetLayoutView="85" workbookViewId="0">
      <selection activeCell="E4" sqref="E4"/>
    </sheetView>
  </sheetViews>
  <sheetFormatPr defaultColWidth="2.375" defaultRowHeight="16.899999999999999" customHeight="1" x14ac:dyDescent="0.15"/>
  <cols>
    <col min="1" max="1" width="2.375" style="1"/>
    <col min="2" max="3" width="6.125" style="1" customWidth="1"/>
    <col min="4" max="4" width="10" style="1" customWidth="1"/>
    <col min="5" max="5" width="10.375" style="1" customWidth="1"/>
    <col min="6" max="10" width="9.25" style="1" customWidth="1"/>
    <col min="11" max="13" width="10.375" style="1" customWidth="1"/>
    <col min="14" max="14" width="12.125" style="1" customWidth="1"/>
    <col min="15" max="54" width="8" style="3" customWidth="1"/>
    <col min="55" max="56" width="2.375" style="1" customWidth="1"/>
    <col min="57" max="16384" width="2.375" style="1"/>
  </cols>
  <sheetData>
    <row r="1" spans="1:54" ht="24" customHeight="1" x14ac:dyDescent="0.15">
      <c r="B1" s="194" t="s">
        <v>50</v>
      </c>
      <c r="C1" s="194"/>
      <c r="D1" s="194"/>
      <c r="E1" s="194"/>
      <c r="F1" s="194"/>
      <c r="G1" s="194"/>
      <c r="H1" s="194"/>
      <c r="I1" s="194"/>
      <c r="J1" s="194"/>
      <c r="K1" s="194"/>
      <c r="L1" s="194"/>
      <c r="M1" s="194"/>
      <c r="N1" s="194"/>
      <c r="O1" s="10"/>
      <c r="P1" s="10"/>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row>
    <row r="2" spans="1:54" ht="24" customHeight="1" x14ac:dyDescent="0.15">
      <c r="B2" s="195" t="s">
        <v>65</v>
      </c>
      <c r="C2" s="195"/>
      <c r="D2" s="195"/>
      <c r="E2" s="195"/>
      <c r="F2" s="195"/>
      <c r="G2" s="195"/>
      <c r="H2" s="195"/>
      <c r="I2" s="195"/>
      <c r="J2" s="195"/>
      <c r="K2" s="195"/>
      <c r="L2" s="195"/>
      <c r="M2" s="195"/>
      <c r="N2" s="195"/>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row>
    <row r="3" spans="1:54" ht="16.899999999999999" customHeight="1" x14ac:dyDescent="0.15">
      <c r="B3" s="12"/>
      <c r="C3" s="12"/>
      <c r="D3" s="12"/>
      <c r="E3" s="12"/>
      <c r="F3" s="12"/>
      <c r="G3" s="12"/>
      <c r="H3" s="12"/>
      <c r="I3" s="12"/>
      <c r="J3" s="12"/>
      <c r="K3" s="12"/>
      <c r="L3" s="12"/>
      <c r="M3" s="12"/>
      <c r="N3" s="12"/>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row>
    <row r="4" spans="1:54" ht="16.899999999999999" customHeight="1" x14ac:dyDescent="0.15">
      <c r="B4" s="204" t="s">
        <v>5</v>
      </c>
      <c r="C4" s="204"/>
      <c r="D4" s="204"/>
      <c r="E4" s="168">
        <v>1000000</v>
      </c>
      <c r="F4" s="159" t="s">
        <v>77</v>
      </c>
      <c r="G4" s="16"/>
      <c r="H4" s="16"/>
      <c r="I4" s="16"/>
      <c r="J4" s="16"/>
      <c r="K4" s="16"/>
      <c r="L4" s="16"/>
      <c r="M4" s="16"/>
      <c r="N4" s="16"/>
      <c r="O4" s="17"/>
      <c r="P4" s="18"/>
    </row>
    <row r="5" spans="1:54" ht="16.899999999999999" customHeight="1" x14ac:dyDescent="0.15">
      <c r="B5" s="204" t="s">
        <v>52</v>
      </c>
      <c r="C5" s="204"/>
      <c r="D5" s="204"/>
      <c r="E5" s="19">
        <v>0.9</v>
      </c>
      <c r="F5" s="20"/>
      <c r="G5" s="16"/>
      <c r="H5" s="16"/>
      <c r="I5" s="16"/>
      <c r="J5" s="16"/>
      <c r="K5" s="16"/>
      <c r="L5" s="16"/>
      <c r="M5" s="16"/>
      <c r="N5" s="16"/>
      <c r="O5" s="17"/>
      <c r="P5" s="18"/>
    </row>
    <row r="6" spans="1:54" ht="16.899999999999999" customHeight="1" x14ac:dyDescent="0.15">
      <c r="B6" s="206" t="s">
        <v>53</v>
      </c>
      <c r="C6" s="207"/>
      <c r="D6" s="21" t="s">
        <v>7</v>
      </c>
      <c r="E6" s="160">
        <v>2.9000000000000001E-2</v>
      </c>
      <c r="F6" s="212" t="s">
        <v>75</v>
      </c>
      <c r="G6" s="212"/>
      <c r="H6" s="212"/>
      <c r="I6" s="212"/>
      <c r="J6" s="212"/>
      <c r="K6" s="212"/>
      <c r="L6" s="212"/>
      <c r="M6" s="212"/>
      <c r="N6" s="212"/>
      <c r="O6" s="1"/>
      <c r="P6" s="1"/>
      <c r="Q6" s="22"/>
      <c r="R6" s="22"/>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row>
    <row r="7" spans="1:54" ht="16.899999999999999" customHeight="1" x14ac:dyDescent="0.15">
      <c r="B7" s="208"/>
      <c r="C7" s="209"/>
      <c r="D7" s="21" t="s">
        <v>8</v>
      </c>
      <c r="E7" s="161">
        <v>3</v>
      </c>
      <c r="F7" s="216" t="s">
        <v>79</v>
      </c>
      <c r="G7" s="217"/>
      <c r="H7" s="217"/>
      <c r="I7" s="217"/>
      <c r="J7" s="217"/>
      <c r="K7" s="217"/>
      <c r="L7" s="217"/>
      <c r="M7" s="217"/>
      <c r="N7" s="217"/>
      <c r="O7" s="24"/>
      <c r="P7" s="25"/>
      <c r="Q7" s="22"/>
      <c r="R7" s="22"/>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row>
    <row r="8" spans="1:54" ht="16.899999999999999" customHeight="1" x14ac:dyDescent="0.15">
      <c r="B8" s="210"/>
      <c r="C8" s="211"/>
      <c r="D8" s="21" t="s">
        <v>9</v>
      </c>
      <c r="E8" s="162">
        <v>17</v>
      </c>
      <c r="F8" s="216"/>
      <c r="G8" s="217"/>
      <c r="H8" s="217"/>
      <c r="I8" s="217"/>
      <c r="J8" s="217"/>
      <c r="K8" s="217"/>
      <c r="L8" s="217"/>
      <c r="M8" s="217"/>
      <c r="N8" s="217"/>
      <c r="O8" s="27"/>
      <c r="P8" s="28"/>
      <c r="Q8" s="13"/>
      <c r="R8" s="29"/>
    </row>
    <row r="9" spans="1:54" ht="16.899999999999999" customHeight="1" x14ac:dyDescent="0.15">
      <c r="B9" s="213" t="s">
        <v>81</v>
      </c>
      <c r="C9" s="214"/>
      <c r="D9" s="215"/>
      <c r="E9" s="163">
        <f>4/9*0.5</f>
        <v>0.22222222222222221</v>
      </c>
      <c r="F9" s="164" t="s">
        <v>76</v>
      </c>
      <c r="G9" s="165"/>
      <c r="H9" s="165"/>
      <c r="I9" s="165"/>
      <c r="J9" s="166"/>
      <c r="K9" s="165"/>
      <c r="L9" s="165"/>
      <c r="M9" s="166"/>
      <c r="N9" s="165"/>
      <c r="O9" s="27"/>
      <c r="P9" s="28"/>
      <c r="Q9" s="13"/>
      <c r="R9" s="29"/>
    </row>
    <row r="10" spans="1:54" ht="16.899999999999999" customHeight="1" x14ac:dyDescent="0.15">
      <c r="B10" s="30"/>
      <c r="C10" s="30"/>
      <c r="D10" s="26"/>
      <c r="E10" s="26"/>
      <c r="F10" s="26"/>
      <c r="G10" s="26"/>
      <c r="H10" s="26"/>
      <c r="I10" s="26"/>
      <c r="J10" s="26"/>
      <c r="K10" s="26"/>
      <c r="L10" s="26"/>
      <c r="M10" s="26"/>
      <c r="N10" s="31" t="s">
        <v>11</v>
      </c>
      <c r="O10" s="28"/>
      <c r="P10" s="13"/>
    </row>
    <row r="11" spans="1:54" ht="16.899999999999999" customHeight="1" x14ac:dyDescent="0.15">
      <c r="A11" s="278" t="s">
        <v>12</v>
      </c>
      <c r="B11" s="279"/>
      <c r="C11" s="280"/>
      <c r="D11" s="275" t="s">
        <v>13</v>
      </c>
      <c r="E11" s="259" t="s">
        <v>54</v>
      </c>
      <c r="F11" s="260"/>
      <c r="G11" s="260"/>
      <c r="H11" s="260"/>
      <c r="I11" s="261"/>
      <c r="J11" s="261"/>
      <c r="K11" s="261"/>
      <c r="L11" s="264" t="s">
        <v>55</v>
      </c>
      <c r="M11" s="267" t="s">
        <v>73</v>
      </c>
      <c r="N11" s="267" t="s">
        <v>66</v>
      </c>
      <c r="O11" s="268" t="s">
        <v>67</v>
      </c>
      <c r="P11" s="269"/>
      <c r="Q11" s="269"/>
      <c r="R11" s="269"/>
      <c r="S11" s="269"/>
      <c r="T11" s="269"/>
      <c r="U11" s="269"/>
      <c r="V11" s="269"/>
      <c r="W11" s="269"/>
      <c r="X11" s="269"/>
      <c r="Y11" s="269"/>
      <c r="Z11" s="269"/>
      <c r="AA11" s="269"/>
      <c r="AB11" s="269"/>
      <c r="AC11" s="269"/>
      <c r="AD11" s="269"/>
      <c r="AE11" s="269"/>
      <c r="AF11" s="269"/>
      <c r="AG11" s="269"/>
      <c r="AH11" s="269"/>
      <c r="AI11" s="269"/>
      <c r="AJ11" s="269"/>
      <c r="AK11" s="269"/>
      <c r="AL11" s="269"/>
      <c r="AM11" s="269"/>
      <c r="AN11" s="269"/>
      <c r="AO11" s="269"/>
      <c r="AP11" s="269"/>
      <c r="AQ11" s="269"/>
      <c r="AR11" s="269"/>
      <c r="AS11" s="269"/>
      <c r="AT11" s="269"/>
      <c r="AU11" s="269"/>
      <c r="AV11" s="269"/>
      <c r="AW11" s="269"/>
      <c r="AX11" s="269"/>
      <c r="AY11" s="269"/>
      <c r="AZ11" s="269"/>
      <c r="BA11" s="269"/>
      <c r="BB11" s="269"/>
    </row>
    <row r="12" spans="1:54" ht="16.899999999999999" customHeight="1" x14ac:dyDescent="0.15">
      <c r="A12" s="281"/>
      <c r="B12" s="282"/>
      <c r="C12" s="283"/>
      <c r="D12" s="276"/>
      <c r="E12" s="265" t="s">
        <v>57</v>
      </c>
      <c r="F12" s="32"/>
      <c r="G12" s="33"/>
      <c r="H12" s="265" t="s">
        <v>68</v>
      </c>
      <c r="I12" s="34"/>
      <c r="J12" s="34"/>
      <c r="K12" s="262" t="s">
        <v>59</v>
      </c>
      <c r="L12" s="264"/>
      <c r="M12" s="267"/>
      <c r="N12" s="267"/>
      <c r="O12" s="255">
        <v>1</v>
      </c>
      <c r="P12" s="4"/>
      <c r="Q12" s="5"/>
      <c r="R12" s="257" t="s">
        <v>69</v>
      </c>
      <c r="S12" s="270">
        <v>2</v>
      </c>
      <c r="T12" s="4"/>
      <c r="U12" s="5"/>
      <c r="V12" s="257" t="s">
        <v>69</v>
      </c>
      <c r="W12" s="270">
        <v>3</v>
      </c>
      <c r="X12" s="4"/>
      <c r="Y12" s="5"/>
      <c r="Z12" s="257" t="s">
        <v>69</v>
      </c>
      <c r="AA12" s="255">
        <v>4</v>
      </c>
      <c r="AB12" s="4"/>
      <c r="AC12" s="5"/>
      <c r="AD12" s="257" t="s">
        <v>69</v>
      </c>
      <c r="AE12" s="270">
        <v>5</v>
      </c>
      <c r="AF12" s="4"/>
      <c r="AG12" s="5"/>
      <c r="AH12" s="257" t="s">
        <v>69</v>
      </c>
      <c r="AI12" s="270">
        <v>6</v>
      </c>
      <c r="AJ12" s="4"/>
      <c r="AK12" s="5"/>
      <c r="AL12" s="257" t="s">
        <v>69</v>
      </c>
      <c r="AM12" s="270">
        <v>7</v>
      </c>
      <c r="AN12" s="4"/>
      <c r="AO12" s="5"/>
      <c r="AP12" s="257" t="s">
        <v>69</v>
      </c>
      <c r="AQ12" s="270">
        <v>8</v>
      </c>
      <c r="AR12" s="4"/>
      <c r="AS12" s="5"/>
      <c r="AT12" s="257" t="s">
        <v>69</v>
      </c>
      <c r="AU12" s="270">
        <v>9</v>
      </c>
      <c r="AV12" s="4"/>
      <c r="AW12" s="5"/>
      <c r="AX12" s="257" t="s">
        <v>69</v>
      </c>
      <c r="AY12" s="270">
        <v>10</v>
      </c>
      <c r="AZ12" s="4"/>
      <c r="BA12" s="5"/>
      <c r="BB12" s="257" t="s">
        <v>69</v>
      </c>
    </row>
    <row r="13" spans="1:54" ht="16.899999999999999" customHeight="1" x14ac:dyDescent="0.15">
      <c r="A13" s="284"/>
      <c r="B13" s="277"/>
      <c r="C13" s="285"/>
      <c r="D13" s="276"/>
      <c r="E13" s="277"/>
      <c r="F13" s="35" t="s">
        <v>70</v>
      </c>
      <c r="G13" s="36" t="s">
        <v>61</v>
      </c>
      <c r="H13" s="266"/>
      <c r="I13" s="36" t="s">
        <v>71</v>
      </c>
      <c r="J13" s="37" t="s">
        <v>72</v>
      </c>
      <c r="K13" s="263"/>
      <c r="L13" s="264"/>
      <c r="M13" s="267"/>
      <c r="N13" s="267"/>
      <c r="O13" s="256"/>
      <c r="P13" s="38" t="s">
        <v>17</v>
      </c>
      <c r="Q13" s="38" t="s">
        <v>18</v>
      </c>
      <c r="R13" s="258"/>
      <c r="S13" s="271"/>
      <c r="T13" s="38" t="s">
        <v>17</v>
      </c>
      <c r="U13" s="38" t="s">
        <v>18</v>
      </c>
      <c r="V13" s="258"/>
      <c r="W13" s="271"/>
      <c r="X13" s="38" t="s">
        <v>17</v>
      </c>
      <c r="Y13" s="38" t="s">
        <v>18</v>
      </c>
      <c r="Z13" s="258"/>
      <c r="AA13" s="256"/>
      <c r="AB13" s="38" t="s">
        <v>17</v>
      </c>
      <c r="AC13" s="38" t="s">
        <v>18</v>
      </c>
      <c r="AD13" s="258"/>
      <c r="AE13" s="271"/>
      <c r="AF13" s="38" t="s">
        <v>17</v>
      </c>
      <c r="AG13" s="38" t="s">
        <v>18</v>
      </c>
      <c r="AH13" s="258"/>
      <c r="AI13" s="271"/>
      <c r="AJ13" s="38" t="s">
        <v>17</v>
      </c>
      <c r="AK13" s="38" t="s">
        <v>18</v>
      </c>
      <c r="AL13" s="258"/>
      <c r="AM13" s="271"/>
      <c r="AN13" s="38" t="s">
        <v>17</v>
      </c>
      <c r="AO13" s="38" t="s">
        <v>18</v>
      </c>
      <c r="AP13" s="258"/>
      <c r="AQ13" s="271"/>
      <c r="AR13" s="38" t="s">
        <v>17</v>
      </c>
      <c r="AS13" s="38" t="s">
        <v>18</v>
      </c>
      <c r="AT13" s="258"/>
      <c r="AU13" s="271"/>
      <c r="AV13" s="38" t="s">
        <v>17</v>
      </c>
      <c r="AW13" s="38" t="s">
        <v>18</v>
      </c>
      <c r="AX13" s="258"/>
      <c r="AY13" s="271"/>
      <c r="AZ13" s="38" t="s">
        <v>17</v>
      </c>
      <c r="BA13" s="38" t="s">
        <v>18</v>
      </c>
      <c r="BB13" s="258"/>
    </row>
    <row r="14" spans="1:54" ht="16.899999999999999" customHeight="1" x14ac:dyDescent="0.15">
      <c r="A14" s="175" t="s">
        <v>19</v>
      </c>
      <c r="B14" s="253" t="s">
        <v>20</v>
      </c>
      <c r="C14" s="254"/>
      <c r="D14" s="39">
        <v>1</v>
      </c>
      <c r="E14" s="40">
        <f>E$4/10</f>
        <v>100000</v>
      </c>
      <c r="F14" s="41">
        <f>E14-G14</f>
        <v>10000</v>
      </c>
      <c r="G14" s="41">
        <f t="shared" ref="G14:G23" si="0">E14*E$5</f>
        <v>90000</v>
      </c>
      <c r="H14" s="42">
        <f>O14+S14+W14+AA14+AE14+AI14+AM14+AQ14+AU14+AY14</f>
        <v>2610</v>
      </c>
      <c r="I14" s="43">
        <f t="shared" ref="H14:I41" si="1">P14+T14+X14+AB14+AF14+AJ14+AN14+AR14+AV14+AZ14</f>
        <v>0</v>
      </c>
      <c r="J14" s="43">
        <f>Q14+U14+Y14+AC14+AG14+AK14+AO14+AS14+AW14+BA14</f>
        <v>2610</v>
      </c>
      <c r="K14" s="44">
        <f>F14+H14</f>
        <v>12610</v>
      </c>
      <c r="L14" s="45">
        <f>G14</f>
        <v>90000</v>
      </c>
      <c r="M14" s="41">
        <f t="shared" ref="M14:M44" si="2">R14+V14+Z14+AD14+AH14+AL14+AP14+AT14+AX14+BB14</f>
        <v>0</v>
      </c>
      <c r="N14" s="41">
        <f t="shared" ref="N14:N42" si="3">K14-M14</f>
        <v>12610</v>
      </c>
      <c r="O14" s="46">
        <f>G$14*E$6</f>
        <v>2610</v>
      </c>
      <c r="P14" s="47">
        <v>0</v>
      </c>
      <c r="Q14" s="48">
        <f>G14*$E$6</f>
        <v>2610</v>
      </c>
      <c r="R14" s="49"/>
      <c r="S14" s="50"/>
      <c r="T14" s="47"/>
      <c r="U14" s="48"/>
      <c r="V14" s="49"/>
      <c r="W14" s="50"/>
      <c r="X14" s="47"/>
      <c r="Y14" s="48"/>
      <c r="Z14" s="49"/>
      <c r="AA14" s="46"/>
      <c r="AB14" s="47"/>
      <c r="AC14" s="48"/>
      <c r="AD14" s="49"/>
      <c r="AE14" s="50"/>
      <c r="AF14" s="47"/>
      <c r="AG14" s="48"/>
      <c r="AH14" s="49"/>
      <c r="AI14" s="50"/>
      <c r="AJ14" s="47"/>
      <c r="AK14" s="48"/>
      <c r="AL14" s="49"/>
      <c r="AM14" s="50"/>
      <c r="AN14" s="47"/>
      <c r="AO14" s="48"/>
      <c r="AP14" s="49"/>
      <c r="AQ14" s="50"/>
      <c r="AR14" s="47"/>
      <c r="AS14" s="48"/>
      <c r="AT14" s="49"/>
      <c r="AU14" s="50"/>
      <c r="AV14" s="47"/>
      <c r="AW14" s="48"/>
      <c r="AX14" s="49"/>
      <c r="AY14" s="50"/>
      <c r="AZ14" s="47"/>
      <c r="BA14" s="48"/>
      <c r="BB14" s="49"/>
    </row>
    <row r="15" spans="1:54" ht="16.899999999999999" customHeight="1" x14ac:dyDescent="0.15">
      <c r="A15" s="175"/>
      <c r="B15" s="253" t="s">
        <v>21</v>
      </c>
      <c r="C15" s="254"/>
      <c r="D15" s="39">
        <v>2</v>
      </c>
      <c r="E15" s="40">
        <f t="shared" ref="E15:E23" si="4">E$4/10</f>
        <v>100000</v>
      </c>
      <c r="F15" s="41">
        <f t="shared" ref="F15:F23" si="5">E15-G15</f>
        <v>10000</v>
      </c>
      <c r="G15" s="41">
        <f t="shared" si="0"/>
        <v>90000</v>
      </c>
      <c r="H15" s="42">
        <f>O15+S15+W15+AA15+AE15+AI15+AM15+AQ15+AU15+AY15</f>
        <v>5220</v>
      </c>
      <c r="I15" s="43">
        <f t="shared" ref="I15" si="6">P15+T15+X15+AB15+AF15+AJ15+AN15+AR15+AV15+AZ15</f>
        <v>0</v>
      </c>
      <c r="J15" s="43">
        <f t="shared" ref="J15:J44" si="7">Q15+U15+Y15+AC15+AG15+AK15+AO15+AS15+AW15+BA15</f>
        <v>5220</v>
      </c>
      <c r="K15" s="44">
        <f t="shared" ref="K15:K44" si="8">F15+H15</f>
        <v>15220</v>
      </c>
      <c r="L15" s="45">
        <f>L14+G15-P15-T15-X15-AB15-AF15-AJ15-AN15-AR15-AV15-AZ15</f>
        <v>180000</v>
      </c>
      <c r="M15" s="41">
        <f>R15+V15+Z15+AD15+AH15+AL15+AP15+AT15+AX15+BB15</f>
        <v>580</v>
      </c>
      <c r="N15" s="41">
        <f t="shared" si="3"/>
        <v>14640</v>
      </c>
      <c r="O15" s="46">
        <f>G$14*E$6</f>
        <v>2610</v>
      </c>
      <c r="P15" s="47">
        <v>0</v>
      </c>
      <c r="Q15" s="48">
        <f>G15*$E$6</f>
        <v>2610</v>
      </c>
      <c r="R15" s="49">
        <f>O14*$E$9</f>
        <v>580</v>
      </c>
      <c r="S15" s="50">
        <f>G$15*E$6</f>
        <v>2610</v>
      </c>
      <c r="T15" s="47">
        <v>0</v>
      </c>
      <c r="U15" s="151">
        <f>$G$15*$E$6</f>
        <v>2610</v>
      </c>
      <c r="V15" s="49"/>
      <c r="W15" s="50"/>
      <c r="X15" s="47"/>
      <c r="Y15" s="48"/>
      <c r="Z15" s="49"/>
      <c r="AA15" s="46"/>
      <c r="AB15" s="47"/>
      <c r="AC15" s="48"/>
      <c r="AD15" s="49"/>
      <c r="AE15" s="50"/>
      <c r="AF15" s="47"/>
      <c r="AG15" s="48"/>
      <c r="AH15" s="49"/>
      <c r="AI15" s="50"/>
      <c r="AJ15" s="47"/>
      <c r="AK15" s="48"/>
      <c r="AL15" s="49"/>
      <c r="AM15" s="50"/>
      <c r="AN15" s="47"/>
      <c r="AO15" s="48"/>
      <c r="AP15" s="49"/>
      <c r="AQ15" s="50"/>
      <c r="AR15" s="47"/>
      <c r="AS15" s="48"/>
      <c r="AT15" s="49"/>
      <c r="AU15" s="50"/>
      <c r="AV15" s="47"/>
      <c r="AW15" s="48"/>
      <c r="AX15" s="49"/>
      <c r="AY15" s="50"/>
      <c r="AZ15" s="47"/>
      <c r="BA15" s="48"/>
      <c r="BB15" s="49"/>
    </row>
    <row r="16" spans="1:54" ht="16.899999999999999" customHeight="1" x14ac:dyDescent="0.15">
      <c r="A16" s="175"/>
      <c r="B16" s="253" t="s">
        <v>22</v>
      </c>
      <c r="C16" s="254"/>
      <c r="D16" s="39">
        <v>3</v>
      </c>
      <c r="E16" s="40">
        <f t="shared" si="4"/>
        <v>100000</v>
      </c>
      <c r="F16" s="41">
        <f t="shared" si="5"/>
        <v>10000</v>
      </c>
      <c r="G16" s="41">
        <f t="shared" si="0"/>
        <v>90000</v>
      </c>
      <c r="H16" s="42">
        <f t="shared" si="1"/>
        <v>7830</v>
      </c>
      <c r="I16" s="43">
        <f t="shared" ref="I16:I40" si="9">P16+T16+X16+AB16+AF16+AJ16+AN16+AR16+AV16+AZ16</f>
        <v>0</v>
      </c>
      <c r="J16" s="43">
        <f t="shared" si="7"/>
        <v>7830</v>
      </c>
      <c r="K16" s="44">
        <f t="shared" si="8"/>
        <v>17830</v>
      </c>
      <c r="L16" s="45">
        <f t="shared" ref="L16:L38" si="10">L15+G16-P16-T16-X16-AB16-AF16-AJ16-AN16-AR16-AV16-AZ16</f>
        <v>270000</v>
      </c>
      <c r="M16" s="41">
        <f t="shared" si="2"/>
        <v>1160</v>
      </c>
      <c r="N16" s="41">
        <f t="shared" si="3"/>
        <v>16670</v>
      </c>
      <c r="O16" s="46">
        <f>G$14*E$6</f>
        <v>2610</v>
      </c>
      <c r="P16" s="47">
        <v>0</v>
      </c>
      <c r="Q16" s="48">
        <f>G16*$E$6</f>
        <v>2610</v>
      </c>
      <c r="R16" s="49">
        <f t="shared" ref="R16:R20" si="11">O15*$E$9</f>
        <v>580</v>
      </c>
      <c r="S16" s="50">
        <f>G$15*E$6</f>
        <v>2610</v>
      </c>
      <c r="T16" s="47">
        <v>0</v>
      </c>
      <c r="U16" s="151">
        <f>$G$15*$E$6</f>
        <v>2610</v>
      </c>
      <c r="V16" s="49">
        <f>S15*$E$9</f>
        <v>580</v>
      </c>
      <c r="W16" s="50">
        <f>G$16*E$6</f>
        <v>2610</v>
      </c>
      <c r="X16" s="47">
        <v>0</v>
      </c>
      <c r="Y16" s="48">
        <f>$G$16*$E$6</f>
        <v>2610</v>
      </c>
      <c r="Z16" s="49"/>
      <c r="AA16" s="46"/>
      <c r="AB16" s="47"/>
      <c r="AC16" s="48"/>
      <c r="AD16" s="49"/>
      <c r="AE16" s="50"/>
      <c r="AF16" s="47"/>
      <c r="AG16" s="48"/>
      <c r="AH16" s="49"/>
      <c r="AI16" s="50"/>
      <c r="AJ16" s="47"/>
      <c r="AK16" s="48"/>
      <c r="AL16" s="49"/>
      <c r="AM16" s="50"/>
      <c r="AN16" s="47"/>
      <c r="AO16" s="48"/>
      <c r="AP16" s="49"/>
      <c r="AQ16" s="50"/>
      <c r="AR16" s="47"/>
      <c r="AS16" s="48"/>
      <c r="AT16" s="49"/>
      <c r="AU16" s="50"/>
      <c r="AV16" s="47"/>
      <c r="AW16" s="48"/>
      <c r="AX16" s="49"/>
      <c r="AY16" s="50"/>
      <c r="AZ16" s="47"/>
      <c r="BA16" s="48"/>
      <c r="BB16" s="49"/>
    </row>
    <row r="17" spans="1:54" ht="16.899999999999999" customHeight="1" x14ac:dyDescent="0.15">
      <c r="A17" s="175"/>
      <c r="B17" s="253" t="s">
        <v>23</v>
      </c>
      <c r="C17" s="254"/>
      <c r="D17" s="39">
        <v>4</v>
      </c>
      <c r="E17" s="40">
        <f t="shared" si="4"/>
        <v>100000</v>
      </c>
      <c r="F17" s="41">
        <f t="shared" si="5"/>
        <v>10000</v>
      </c>
      <c r="G17" s="41">
        <f t="shared" si="0"/>
        <v>90000</v>
      </c>
      <c r="H17" s="42">
        <f>O17+S17+W17+AA17+AE17+AI17+AM17+AQ17+AU17+AY17</f>
        <v>14610.804970112897</v>
      </c>
      <c r="I17" s="43">
        <f t="shared" si="9"/>
        <v>4170.8049701128966</v>
      </c>
      <c r="J17" s="43">
        <f t="shared" si="7"/>
        <v>10440</v>
      </c>
      <c r="K17" s="44">
        <f t="shared" si="8"/>
        <v>24610.804970112898</v>
      </c>
      <c r="L17" s="45">
        <f t="shared" si="10"/>
        <v>355829.19502988708</v>
      </c>
      <c r="M17" s="41">
        <f t="shared" si="2"/>
        <v>1740</v>
      </c>
      <c r="N17" s="41">
        <f t="shared" si="3"/>
        <v>22870.804970112898</v>
      </c>
      <c r="O17" s="46">
        <f t="shared" ref="O17:O33" si="12">ABS(PMT(($E$6),$E$8,G$14))</f>
        <v>6780.8049701128966</v>
      </c>
      <c r="P17" s="47">
        <f>ABS(PPMT(($E$6),1,$E$8,$G$14))</f>
        <v>4170.8049701128966</v>
      </c>
      <c r="Q17" s="48">
        <f>ABS(IPMT(($E$6),1,$E$8,$G$14))</f>
        <v>2610</v>
      </c>
      <c r="R17" s="49">
        <f t="shared" si="11"/>
        <v>580</v>
      </c>
      <c r="S17" s="50">
        <f>G$15*E$6</f>
        <v>2610</v>
      </c>
      <c r="T17" s="47">
        <v>0</v>
      </c>
      <c r="U17" s="151">
        <f>$G$15*$E$6</f>
        <v>2610</v>
      </c>
      <c r="V17" s="49">
        <f t="shared" ref="V17:V35" si="13">S16*$E$9</f>
        <v>580</v>
      </c>
      <c r="W17" s="50">
        <f>G$16*E$6</f>
        <v>2610</v>
      </c>
      <c r="X17" s="47">
        <v>0</v>
      </c>
      <c r="Y17" s="48">
        <f>$G$16*$E$6</f>
        <v>2610</v>
      </c>
      <c r="Z17" s="49">
        <f>W16*$E$9</f>
        <v>580</v>
      </c>
      <c r="AA17" s="46">
        <f>G$17*E$6</f>
        <v>2610</v>
      </c>
      <c r="AB17" s="47">
        <v>0</v>
      </c>
      <c r="AC17" s="48">
        <f>$G$17*$E$6</f>
        <v>2610</v>
      </c>
      <c r="AD17" s="49"/>
      <c r="AE17" s="50"/>
      <c r="AF17" s="47"/>
      <c r="AG17" s="48"/>
      <c r="AH17" s="49"/>
      <c r="AI17" s="50"/>
      <c r="AJ17" s="47"/>
      <c r="AK17" s="48"/>
      <c r="AL17" s="49"/>
      <c r="AM17" s="50"/>
      <c r="AN17" s="47"/>
      <c r="AO17" s="48"/>
      <c r="AP17" s="49"/>
      <c r="AQ17" s="50"/>
      <c r="AR17" s="47"/>
      <c r="AS17" s="48"/>
      <c r="AT17" s="49"/>
      <c r="AU17" s="50"/>
      <c r="AV17" s="47"/>
      <c r="AW17" s="48"/>
      <c r="AX17" s="49"/>
      <c r="AY17" s="50"/>
      <c r="AZ17" s="47"/>
      <c r="BA17" s="48"/>
      <c r="BB17" s="49"/>
    </row>
    <row r="18" spans="1:54" ht="16.899999999999999" customHeight="1" x14ac:dyDescent="0.15">
      <c r="A18" s="175"/>
      <c r="B18" s="253" t="s">
        <v>24</v>
      </c>
      <c r="C18" s="254"/>
      <c r="D18" s="39">
        <v>5</v>
      </c>
      <c r="E18" s="40">
        <f t="shared" si="4"/>
        <v>100000</v>
      </c>
      <c r="F18" s="41">
        <f t="shared" si="5"/>
        <v>10000</v>
      </c>
      <c r="G18" s="41">
        <f t="shared" si="0"/>
        <v>90000</v>
      </c>
      <c r="H18" s="42">
        <f t="shared" si="1"/>
        <v>21391.609940225793</v>
      </c>
      <c r="I18" s="43">
        <f t="shared" si="9"/>
        <v>8462.5632843590665</v>
      </c>
      <c r="J18" s="43">
        <f t="shared" si="7"/>
        <v>12929.046655866725</v>
      </c>
      <c r="K18" s="44">
        <f t="shared" si="8"/>
        <v>31391.609940225793</v>
      </c>
      <c r="L18" s="45">
        <f t="shared" si="10"/>
        <v>437366.63174552796</v>
      </c>
      <c r="M18" s="41">
        <f t="shared" si="2"/>
        <v>3246.8455489139769</v>
      </c>
      <c r="N18" s="41">
        <f t="shared" si="3"/>
        <v>28144.764391311815</v>
      </c>
      <c r="O18" s="46">
        <f>ABS(PMT(($E$6),$E$8,G$14))</f>
        <v>6780.8049701128966</v>
      </c>
      <c r="P18" s="47">
        <f>ABS(PPMT(($E$6),2,$E$8,$G$14))</f>
        <v>4291.7583142461699</v>
      </c>
      <c r="Q18" s="48">
        <f>ABS(IPMT(($E$6),2,$E$8,$G$14))</f>
        <v>2489.0466558667258</v>
      </c>
      <c r="R18" s="49">
        <f t="shared" si="11"/>
        <v>1506.8455489139769</v>
      </c>
      <c r="S18" s="50">
        <f t="shared" ref="S18:S34" si="14">ABS(PMT(($E$6),$E$8,G$15))</f>
        <v>6780.8049701128966</v>
      </c>
      <c r="T18" s="47">
        <f>ABS(PPMT(($E$6),1,$E$8,$G$15))</f>
        <v>4170.8049701128966</v>
      </c>
      <c r="U18" s="48">
        <f>ABS(IPMT(($E$6),1,$E$8,$G$15))</f>
        <v>2610</v>
      </c>
      <c r="V18" s="49">
        <f t="shared" si="13"/>
        <v>580</v>
      </c>
      <c r="W18" s="50">
        <f>G$16*E$6</f>
        <v>2610</v>
      </c>
      <c r="X18" s="47">
        <v>0</v>
      </c>
      <c r="Y18" s="48">
        <f>$G$16*$E$6</f>
        <v>2610</v>
      </c>
      <c r="Z18" s="49">
        <f t="shared" ref="Z18:Z36" si="15">W17*$E$9</f>
        <v>580</v>
      </c>
      <c r="AA18" s="46">
        <f>G$17*E$6</f>
        <v>2610</v>
      </c>
      <c r="AB18" s="47">
        <v>0</v>
      </c>
      <c r="AC18" s="48">
        <f>$G$17*$E$6</f>
        <v>2610</v>
      </c>
      <c r="AD18" s="49">
        <f>AA17*$E$9</f>
        <v>580</v>
      </c>
      <c r="AE18" s="50">
        <f>G$18*E$6</f>
        <v>2610</v>
      </c>
      <c r="AF18" s="47">
        <v>0</v>
      </c>
      <c r="AG18" s="48">
        <f>$G$18*$E$6</f>
        <v>2610</v>
      </c>
      <c r="AH18" s="49"/>
      <c r="AI18" s="50"/>
      <c r="AJ18" s="47"/>
      <c r="AK18" s="48"/>
      <c r="AL18" s="49"/>
      <c r="AM18" s="50"/>
      <c r="AN18" s="47"/>
      <c r="AO18" s="48"/>
      <c r="AP18" s="49"/>
      <c r="AQ18" s="50"/>
      <c r="AR18" s="47"/>
      <c r="AS18" s="48"/>
      <c r="AT18" s="49"/>
      <c r="AU18" s="50"/>
      <c r="AV18" s="47"/>
      <c r="AW18" s="48"/>
      <c r="AX18" s="49"/>
      <c r="AY18" s="50"/>
      <c r="AZ18" s="47"/>
      <c r="BA18" s="48"/>
      <c r="BB18" s="49"/>
    </row>
    <row r="19" spans="1:54" ht="16.899999999999999" customHeight="1" x14ac:dyDescent="0.15">
      <c r="A19" s="175"/>
      <c r="B19" s="253" t="s">
        <v>25</v>
      </c>
      <c r="C19" s="254"/>
      <c r="D19" s="39">
        <v>6</v>
      </c>
      <c r="E19" s="40">
        <f t="shared" si="4"/>
        <v>100000</v>
      </c>
      <c r="F19" s="41">
        <f t="shared" si="5"/>
        <v>10000</v>
      </c>
      <c r="G19" s="41">
        <f t="shared" si="0"/>
        <v>90000</v>
      </c>
      <c r="H19" s="42">
        <f t="shared" si="1"/>
        <v>28172.414910338688</v>
      </c>
      <c r="I19" s="43">
        <f t="shared" si="9"/>
        <v>12878.782589718377</v>
      </c>
      <c r="J19" s="43">
        <f t="shared" si="7"/>
        <v>15293.632320620312</v>
      </c>
      <c r="K19" s="44">
        <f t="shared" si="8"/>
        <v>38172.414910338688</v>
      </c>
      <c r="L19" s="45">
        <f t="shared" si="10"/>
        <v>514487.84915580956</v>
      </c>
      <c r="M19" s="41">
        <f t="shared" si="2"/>
        <v>4753.6910978279539</v>
      </c>
      <c r="N19" s="41">
        <f t="shared" si="3"/>
        <v>33418.723812510732</v>
      </c>
      <c r="O19" s="46">
        <f t="shared" si="12"/>
        <v>6780.8049701128966</v>
      </c>
      <c r="P19" s="47">
        <f>ABS(PPMT(($E$6),3,$E$8,$G$14))</f>
        <v>4416.2193053593101</v>
      </c>
      <c r="Q19" s="48">
        <f>ABS(IPMT(($E$6),3,$E$8,$G$14))</f>
        <v>2364.585664753587</v>
      </c>
      <c r="R19" s="49">
        <f t="shared" si="11"/>
        <v>1506.8455489139769</v>
      </c>
      <c r="S19" s="50">
        <f t="shared" si="14"/>
        <v>6780.8049701128966</v>
      </c>
      <c r="T19" s="47">
        <f>ABS(PPMT(($E$6),2,$E$8,$G$15))</f>
        <v>4291.7583142461699</v>
      </c>
      <c r="U19" s="48">
        <f>ABS(IPMT(($E$6),2,$E$8,$G$15))</f>
        <v>2489.0466558667258</v>
      </c>
      <c r="V19" s="49">
        <f t="shared" si="13"/>
        <v>1506.8455489139769</v>
      </c>
      <c r="W19" s="50">
        <f t="shared" ref="W19:W35" si="16">ABS(PMT(($E$6),$E$8,G$16))</f>
        <v>6780.8049701128966</v>
      </c>
      <c r="X19" s="47">
        <f>ABS(PPMT(($E$6),1,$E$8,$G$16))</f>
        <v>4170.8049701128966</v>
      </c>
      <c r="Y19" s="48">
        <f>ABS(IPMT(($E$6),1,$E$8,$G$16))</f>
        <v>2610</v>
      </c>
      <c r="Z19" s="49">
        <f t="shared" si="15"/>
        <v>580</v>
      </c>
      <c r="AA19" s="46">
        <f>G$17*E$6</f>
        <v>2610</v>
      </c>
      <c r="AB19" s="47">
        <v>0</v>
      </c>
      <c r="AC19" s="48">
        <f>$G$17*$E$6</f>
        <v>2610</v>
      </c>
      <c r="AD19" s="49">
        <f t="shared" ref="AD19:AD37" si="17">AA18*$E$9</f>
        <v>580</v>
      </c>
      <c r="AE19" s="50">
        <f>G$18*E$6</f>
        <v>2610</v>
      </c>
      <c r="AF19" s="47">
        <v>0</v>
      </c>
      <c r="AG19" s="48">
        <f>$G$18*$E$6</f>
        <v>2610</v>
      </c>
      <c r="AH19" s="49">
        <f>AE18*$E$9</f>
        <v>580</v>
      </c>
      <c r="AI19" s="50">
        <f>G$19*E$6</f>
        <v>2610</v>
      </c>
      <c r="AJ19" s="47">
        <v>0</v>
      </c>
      <c r="AK19" s="48">
        <f>$G$19*$E$6</f>
        <v>2610</v>
      </c>
      <c r="AL19" s="49"/>
      <c r="AM19" s="50"/>
      <c r="AN19" s="47"/>
      <c r="AO19" s="48"/>
      <c r="AP19" s="49"/>
      <c r="AQ19" s="50"/>
      <c r="AR19" s="47"/>
      <c r="AS19" s="48"/>
      <c r="AT19" s="49"/>
      <c r="AU19" s="50"/>
      <c r="AV19" s="47"/>
      <c r="AW19" s="48"/>
      <c r="AX19" s="49"/>
      <c r="AY19" s="50"/>
      <c r="AZ19" s="47"/>
      <c r="BA19" s="48"/>
      <c r="BB19" s="49"/>
    </row>
    <row r="20" spans="1:54" ht="16.899999999999999" customHeight="1" x14ac:dyDescent="0.15">
      <c r="A20" s="175"/>
      <c r="B20" s="253" t="s">
        <v>26</v>
      </c>
      <c r="C20" s="254"/>
      <c r="D20" s="39">
        <v>7</v>
      </c>
      <c r="E20" s="40">
        <f t="shared" si="4"/>
        <v>100000</v>
      </c>
      <c r="F20" s="41">
        <f t="shared" si="5"/>
        <v>10000</v>
      </c>
      <c r="G20" s="41">
        <f t="shared" si="0"/>
        <v>90000</v>
      </c>
      <c r="H20" s="42">
        <f t="shared" si="1"/>
        <v>34953.219880451587</v>
      </c>
      <c r="I20" s="43">
        <f t="shared" si="9"/>
        <v>17423.072254933104</v>
      </c>
      <c r="J20" s="43">
        <f t="shared" si="7"/>
        <v>17530.147625518479</v>
      </c>
      <c r="K20" s="44">
        <f t="shared" si="8"/>
        <v>44953.219880451587</v>
      </c>
      <c r="L20" s="45">
        <f t="shared" si="10"/>
        <v>587064.77690087643</v>
      </c>
      <c r="M20" s="41">
        <f t="shared" si="2"/>
        <v>6260.5366467419308</v>
      </c>
      <c r="N20" s="41">
        <f t="shared" si="3"/>
        <v>38692.683233709657</v>
      </c>
      <c r="O20" s="46">
        <f t="shared" si="12"/>
        <v>6780.8049701128966</v>
      </c>
      <c r="P20" s="47">
        <f>ABS(PPMT(($E$6),4,$E$8,$G$14))</f>
        <v>4544.2896652147292</v>
      </c>
      <c r="Q20" s="48">
        <f>ABS(IPMT(($E$6),4,$E$8,$G$14))</f>
        <v>2236.515304898167</v>
      </c>
      <c r="R20" s="49">
        <f t="shared" si="11"/>
        <v>1506.8455489139769</v>
      </c>
      <c r="S20" s="50">
        <f t="shared" ref="S20:S25" si="18">ABS(PMT(($E$6),$E$8,G$15))</f>
        <v>6780.8049701128966</v>
      </c>
      <c r="T20" s="47">
        <f>ABS(PPMT(($E$6),3,$E$8,$G$15))</f>
        <v>4416.2193053593101</v>
      </c>
      <c r="U20" s="48">
        <f>ABS(IPMT(($E$6),3,$E$8,$G$15))</f>
        <v>2364.585664753587</v>
      </c>
      <c r="V20" s="49">
        <f t="shared" si="13"/>
        <v>1506.8455489139769</v>
      </c>
      <c r="W20" s="50">
        <f t="shared" si="16"/>
        <v>6780.8049701128966</v>
      </c>
      <c r="X20" s="47">
        <f>ABS(PPMT(($E$6),2,$E$8,$G$16))</f>
        <v>4291.7583142461699</v>
      </c>
      <c r="Y20" s="48">
        <f>ABS(IPMT(($E$6),2,$E$8,$G$16))</f>
        <v>2489.0466558667258</v>
      </c>
      <c r="Z20" s="49">
        <f t="shared" si="15"/>
        <v>1506.8455489139769</v>
      </c>
      <c r="AA20" s="46">
        <f t="shared" ref="AA20:AA36" si="19">ABS(PMT(($E$6),$E$8,G$17))</f>
        <v>6780.8049701128966</v>
      </c>
      <c r="AB20" s="47">
        <f>ABS(PPMT(($E$6),1,$E$8,$G$17))</f>
        <v>4170.8049701128966</v>
      </c>
      <c r="AC20" s="48">
        <f>ABS(IPMT(($E$6),1,$E$8,$G$17))</f>
        <v>2610</v>
      </c>
      <c r="AD20" s="49">
        <f t="shared" si="17"/>
        <v>580</v>
      </c>
      <c r="AE20" s="50">
        <f>G$18*E$6</f>
        <v>2610</v>
      </c>
      <c r="AF20" s="47">
        <v>0</v>
      </c>
      <c r="AG20" s="48">
        <f>$G$18*$E$6</f>
        <v>2610</v>
      </c>
      <c r="AH20" s="49">
        <f t="shared" ref="AH20:AH38" si="20">AE19*$E$9</f>
        <v>580</v>
      </c>
      <c r="AI20" s="50">
        <f>G$19*E$6</f>
        <v>2610</v>
      </c>
      <c r="AJ20" s="47">
        <v>0</v>
      </c>
      <c r="AK20" s="48">
        <f>$G$19*$E$6</f>
        <v>2610</v>
      </c>
      <c r="AL20" s="49">
        <f>AI19*$E$9</f>
        <v>580</v>
      </c>
      <c r="AM20" s="50">
        <f>G$20*E$6</f>
        <v>2610</v>
      </c>
      <c r="AN20" s="47">
        <v>0</v>
      </c>
      <c r="AO20" s="48">
        <f>$G$20*$E$6</f>
        <v>2610</v>
      </c>
      <c r="AP20" s="49"/>
      <c r="AQ20" s="50"/>
      <c r="AR20" s="47"/>
      <c r="AS20" s="48"/>
      <c r="AT20" s="49"/>
      <c r="AU20" s="50"/>
      <c r="AV20" s="47"/>
      <c r="AW20" s="48"/>
      <c r="AX20" s="49"/>
      <c r="AY20" s="50"/>
      <c r="AZ20" s="47"/>
      <c r="BA20" s="48"/>
      <c r="BB20" s="49"/>
    </row>
    <row r="21" spans="1:54" ht="16.899999999999999" customHeight="1" x14ac:dyDescent="0.15">
      <c r="A21" s="175"/>
      <c r="B21" s="253" t="s">
        <v>27</v>
      </c>
      <c r="C21" s="254"/>
      <c r="D21" s="39">
        <v>8</v>
      </c>
      <c r="E21" s="40">
        <f t="shared" si="4"/>
        <v>100000</v>
      </c>
      <c r="F21" s="41">
        <f t="shared" si="5"/>
        <v>10000</v>
      </c>
      <c r="G21" s="41">
        <f t="shared" si="0"/>
        <v>90000</v>
      </c>
      <c r="H21" s="42">
        <f t="shared" si="1"/>
        <v>41734.024850564485</v>
      </c>
      <c r="I21" s="43">
        <f t="shared" si="9"/>
        <v>22099.14632043906</v>
      </c>
      <c r="J21" s="43">
        <f t="shared" si="7"/>
        <v>19634.878530125421</v>
      </c>
      <c r="K21" s="44">
        <f t="shared" si="8"/>
        <v>51734.024850564485</v>
      </c>
      <c r="L21" s="45">
        <f t="shared" si="10"/>
        <v>654965.63058043737</v>
      </c>
      <c r="M21" s="41">
        <f t="shared" si="2"/>
        <v>7767.3821956559077</v>
      </c>
      <c r="N21" s="41">
        <f t="shared" si="3"/>
        <v>43966.642654908574</v>
      </c>
      <c r="O21" s="46">
        <f t="shared" si="12"/>
        <v>6780.8049701128966</v>
      </c>
      <c r="P21" s="47">
        <f>ABS(PPMT(($E$6),5,$E$8,$G$14))</f>
        <v>4676.0740655059562</v>
      </c>
      <c r="Q21" s="48">
        <f>ABS(IPMT(($E$6),5,$E$8,$G$14))</f>
        <v>2104.7309046069399</v>
      </c>
      <c r="R21" s="49">
        <f t="shared" ref="R21:R34" si="21">O20*$E$9</f>
        <v>1506.8455489139769</v>
      </c>
      <c r="S21" s="50">
        <f t="shared" si="18"/>
        <v>6780.8049701128966</v>
      </c>
      <c r="T21" s="47">
        <f>ABS(PPMT(($E$6),4,$E$8,$G$15))</f>
        <v>4544.2896652147292</v>
      </c>
      <c r="U21" s="48">
        <f>ABS(IPMT(($E$6),4,$E$8,$G$15))</f>
        <v>2236.515304898167</v>
      </c>
      <c r="V21" s="49">
        <f t="shared" si="13"/>
        <v>1506.8455489139769</v>
      </c>
      <c r="W21" s="50">
        <f t="shared" si="16"/>
        <v>6780.8049701128966</v>
      </c>
      <c r="X21" s="47">
        <f>ABS(PPMT(($E$6),3,$E$8,$G$16))</f>
        <v>4416.2193053593101</v>
      </c>
      <c r="Y21" s="48">
        <f>ABS(IPMT(($E$6),3,$E$8,$G$16))</f>
        <v>2364.585664753587</v>
      </c>
      <c r="Z21" s="49">
        <f t="shared" si="15"/>
        <v>1506.8455489139769</v>
      </c>
      <c r="AA21" s="46">
        <f t="shared" si="19"/>
        <v>6780.8049701128966</v>
      </c>
      <c r="AB21" s="47">
        <f>ABS(PPMT(($E$6),2,$E$8,$G$17))</f>
        <v>4291.7583142461699</v>
      </c>
      <c r="AC21" s="48">
        <f>ABS(IPMT(($E$6),2,$E$8,$G$17))</f>
        <v>2489.0466558667258</v>
      </c>
      <c r="AD21" s="49">
        <f t="shared" si="17"/>
        <v>1506.8455489139769</v>
      </c>
      <c r="AE21" s="50">
        <f t="shared" ref="AE21:AE37" si="22">ABS(PMT(($E$6),$E$8,G$18))</f>
        <v>6780.8049701128966</v>
      </c>
      <c r="AF21" s="47">
        <f>ABS(PPMT(($E$6),1,$E$8,$G$18))</f>
        <v>4170.8049701128966</v>
      </c>
      <c r="AG21" s="48">
        <f>ABS(IPMT(($E$6),1,$E$8,$G$18))</f>
        <v>2610</v>
      </c>
      <c r="AH21" s="49">
        <f t="shared" si="20"/>
        <v>580</v>
      </c>
      <c r="AI21" s="50">
        <f>G$19*E$6</f>
        <v>2610</v>
      </c>
      <c r="AJ21" s="47">
        <v>0</v>
      </c>
      <c r="AK21" s="48">
        <f>$G$19*$E$6</f>
        <v>2610</v>
      </c>
      <c r="AL21" s="49">
        <f t="shared" ref="AL21:AL39" si="23">AI20*$E$9</f>
        <v>580</v>
      </c>
      <c r="AM21" s="50">
        <f>G$20*E$6</f>
        <v>2610</v>
      </c>
      <c r="AN21" s="47">
        <v>0</v>
      </c>
      <c r="AO21" s="48">
        <f>$G$20*$E$6</f>
        <v>2610</v>
      </c>
      <c r="AP21" s="49">
        <f>AM20*$E$9</f>
        <v>580</v>
      </c>
      <c r="AQ21" s="50">
        <f>G$21*E$6</f>
        <v>2610</v>
      </c>
      <c r="AR21" s="47">
        <v>0</v>
      </c>
      <c r="AS21" s="48">
        <f>$G$21*$E$6</f>
        <v>2610</v>
      </c>
      <c r="AT21" s="49"/>
      <c r="AU21" s="50"/>
      <c r="AV21" s="47"/>
      <c r="AW21" s="48"/>
      <c r="AX21" s="49"/>
      <c r="AY21" s="50"/>
      <c r="AZ21" s="47"/>
      <c r="BA21" s="48"/>
      <c r="BB21" s="49"/>
    </row>
    <row r="22" spans="1:54" ht="16.899999999999999" customHeight="1" x14ac:dyDescent="0.15">
      <c r="A22" s="175"/>
      <c r="B22" s="253" t="s">
        <v>28</v>
      </c>
      <c r="C22" s="254"/>
      <c r="D22" s="39">
        <v>9</v>
      </c>
      <c r="E22" s="40">
        <f t="shared" si="4"/>
        <v>100000</v>
      </c>
      <c r="F22" s="41">
        <f t="shared" si="5"/>
        <v>10000</v>
      </c>
      <c r="G22" s="41">
        <f t="shared" si="0"/>
        <v>90000</v>
      </c>
      <c r="H22" s="42">
        <f t="shared" si="1"/>
        <v>48514.829820677383</v>
      </c>
      <c r="I22" s="43">
        <f t="shared" si="9"/>
        <v>26910.826533844694</v>
      </c>
      <c r="J22" s="43">
        <f t="shared" si="7"/>
        <v>21604.003286832689</v>
      </c>
      <c r="K22" s="44">
        <f t="shared" si="8"/>
        <v>58514.829820677383</v>
      </c>
      <c r="L22" s="45">
        <f t="shared" si="10"/>
        <v>718054.80404659268</v>
      </c>
      <c r="M22" s="41">
        <f t="shared" si="2"/>
        <v>9274.2277445698855</v>
      </c>
      <c r="N22" s="41">
        <f t="shared" si="3"/>
        <v>49240.602076107498</v>
      </c>
      <c r="O22" s="46">
        <f t="shared" si="12"/>
        <v>6780.8049701128966</v>
      </c>
      <c r="P22" s="47">
        <f>ABS(PPMT(($E$6),6,$E$8,$G$14))</f>
        <v>4811.6802134056288</v>
      </c>
      <c r="Q22" s="48">
        <f>ABS(IPMT(($E$6),6,$E$8,$G$14))</f>
        <v>1969.1247567072674</v>
      </c>
      <c r="R22" s="49">
        <f t="shared" si="21"/>
        <v>1506.8455489139769</v>
      </c>
      <c r="S22" s="50">
        <f t="shared" si="18"/>
        <v>6780.8049701128966</v>
      </c>
      <c r="T22" s="47">
        <f>ABS(PPMT(($E$6),5,$E$8,$G$15))</f>
        <v>4676.0740655059562</v>
      </c>
      <c r="U22" s="48">
        <f>ABS(IPMT(($E$6),5,$E$8,$G$15))</f>
        <v>2104.7309046069399</v>
      </c>
      <c r="V22" s="49">
        <f t="shared" si="13"/>
        <v>1506.8455489139769</v>
      </c>
      <c r="W22" s="50">
        <f t="shared" si="16"/>
        <v>6780.8049701128966</v>
      </c>
      <c r="X22" s="47">
        <f>ABS(PPMT(($E$6),4,$E$8,$G$16))</f>
        <v>4544.2896652147292</v>
      </c>
      <c r="Y22" s="48">
        <f>ABS(IPMT(($E$6),4,$E$8,$G$16))</f>
        <v>2236.515304898167</v>
      </c>
      <c r="Z22" s="49">
        <f t="shared" si="15"/>
        <v>1506.8455489139769</v>
      </c>
      <c r="AA22" s="46">
        <f t="shared" si="19"/>
        <v>6780.8049701128966</v>
      </c>
      <c r="AB22" s="47">
        <f>ABS(PPMT(($E$6),3,$E$8,$G$17))</f>
        <v>4416.2193053593101</v>
      </c>
      <c r="AC22" s="48">
        <f>ABS(IPMT(($E$6),3,$E$8,$G$17))</f>
        <v>2364.585664753587</v>
      </c>
      <c r="AD22" s="49">
        <f t="shared" si="17"/>
        <v>1506.8455489139769</v>
      </c>
      <c r="AE22" s="50">
        <f t="shared" si="22"/>
        <v>6780.8049701128966</v>
      </c>
      <c r="AF22" s="47">
        <f>ABS(PPMT(($E$6),2,$E$8,$G$18))</f>
        <v>4291.7583142461699</v>
      </c>
      <c r="AG22" s="48">
        <f>ABS(IPMT(($E$6),2,$E$8,$G$18))</f>
        <v>2489.0466558667258</v>
      </c>
      <c r="AH22" s="49">
        <f t="shared" si="20"/>
        <v>1506.8455489139769</v>
      </c>
      <c r="AI22" s="50">
        <f t="shared" ref="AI22:AI38" si="24">ABS(PMT(($E$6),$E$8,G$19))</f>
        <v>6780.8049701128966</v>
      </c>
      <c r="AJ22" s="47">
        <f>ABS(PPMT(($E$6),1,$E$8,$G$19))</f>
        <v>4170.8049701128966</v>
      </c>
      <c r="AK22" s="48">
        <f>ABS(IPMT(($E$6),1,$E$8,$G$19))</f>
        <v>2610</v>
      </c>
      <c r="AL22" s="49">
        <f t="shared" si="23"/>
        <v>580</v>
      </c>
      <c r="AM22" s="50">
        <f>G$20*E$6</f>
        <v>2610</v>
      </c>
      <c r="AN22" s="47">
        <v>0</v>
      </c>
      <c r="AO22" s="48">
        <f>$G$20*$E$6</f>
        <v>2610</v>
      </c>
      <c r="AP22" s="49">
        <f t="shared" ref="AP22:AP40" si="25">AM21*$E$9</f>
        <v>580</v>
      </c>
      <c r="AQ22" s="50">
        <f>G$21*E$6</f>
        <v>2610</v>
      </c>
      <c r="AR22" s="47">
        <v>0</v>
      </c>
      <c r="AS22" s="48">
        <f>$G$21*$E$6</f>
        <v>2610</v>
      </c>
      <c r="AT22" s="49">
        <f>AQ21*$E$9</f>
        <v>580</v>
      </c>
      <c r="AU22" s="50">
        <f>G$22*E$6</f>
        <v>2610</v>
      </c>
      <c r="AV22" s="47">
        <v>0</v>
      </c>
      <c r="AW22" s="48">
        <f>$G$22*$E$6</f>
        <v>2610</v>
      </c>
      <c r="AX22" s="49"/>
      <c r="AY22" s="50"/>
      <c r="AZ22" s="47"/>
      <c r="BA22" s="48"/>
      <c r="BB22" s="49"/>
    </row>
    <row r="23" spans="1:54" ht="16.899999999999999" customHeight="1" thickBot="1" x14ac:dyDescent="0.2">
      <c r="A23" s="176"/>
      <c r="B23" s="286" t="s">
        <v>29</v>
      </c>
      <c r="C23" s="287"/>
      <c r="D23" s="51">
        <v>10</v>
      </c>
      <c r="E23" s="52">
        <f t="shared" si="4"/>
        <v>100000</v>
      </c>
      <c r="F23" s="53">
        <f t="shared" si="5"/>
        <v>10000</v>
      </c>
      <c r="G23" s="53">
        <f t="shared" si="0"/>
        <v>90000</v>
      </c>
      <c r="H23" s="54">
        <f t="shared" si="1"/>
        <v>55295.634790790282</v>
      </c>
      <c r="I23" s="55">
        <f t="shared" si="9"/>
        <v>31862.045473439081</v>
      </c>
      <c r="J23" s="56">
        <f t="shared" si="7"/>
        <v>23433.58931735119</v>
      </c>
      <c r="K23" s="57">
        <f t="shared" si="8"/>
        <v>65295.634790790282</v>
      </c>
      <c r="L23" s="58">
        <f t="shared" si="10"/>
        <v>776192.75857315364</v>
      </c>
      <c r="M23" s="53">
        <f t="shared" si="2"/>
        <v>10781.073293483862</v>
      </c>
      <c r="N23" s="53">
        <f t="shared" si="3"/>
        <v>54514.561497306422</v>
      </c>
      <c r="O23" s="156">
        <f t="shared" si="12"/>
        <v>6780.8049701128966</v>
      </c>
      <c r="P23" s="60">
        <f>ABS(PPMT(($E$6),7,$E$8,$G$14))</f>
        <v>4951.2189395943924</v>
      </c>
      <c r="Q23" s="156">
        <f>ABS(IPMT(($E$6),7,$E$8,$G$14))</f>
        <v>1829.586030518504</v>
      </c>
      <c r="R23" s="157">
        <f t="shared" si="21"/>
        <v>1506.8455489139769</v>
      </c>
      <c r="S23" s="158">
        <f t="shared" si="18"/>
        <v>6780.8049701128966</v>
      </c>
      <c r="T23" s="60">
        <f>ABS(PPMT(($E$6),6,$E$8,$G$15))</f>
        <v>4811.6802134056288</v>
      </c>
      <c r="U23" s="156">
        <f>ABS(IPMT(($E$6),6,$E$8,$G$15))</f>
        <v>1969.1247567072674</v>
      </c>
      <c r="V23" s="157">
        <f t="shared" si="13"/>
        <v>1506.8455489139769</v>
      </c>
      <c r="W23" s="158">
        <f t="shared" si="16"/>
        <v>6780.8049701128966</v>
      </c>
      <c r="X23" s="60">
        <f>ABS(PPMT(($E$6),5,$E$8,$G$16))</f>
        <v>4676.0740655059562</v>
      </c>
      <c r="Y23" s="156">
        <f>ABS(IPMT(($E$6),5,$E$8,$G$16))</f>
        <v>2104.7309046069399</v>
      </c>
      <c r="Z23" s="157">
        <f t="shared" si="15"/>
        <v>1506.8455489139769</v>
      </c>
      <c r="AA23" s="59">
        <f t="shared" si="19"/>
        <v>6780.8049701128966</v>
      </c>
      <c r="AB23" s="60">
        <f>ABS(PPMT(($E$6),4,$E$8,$G$17))</f>
        <v>4544.2896652147292</v>
      </c>
      <c r="AC23" s="156">
        <f>ABS(IPMT(($E$6),4,$E$8,$G$17))</f>
        <v>2236.515304898167</v>
      </c>
      <c r="AD23" s="157">
        <f t="shared" si="17"/>
        <v>1506.8455489139769</v>
      </c>
      <c r="AE23" s="158">
        <f t="shared" si="22"/>
        <v>6780.8049701128966</v>
      </c>
      <c r="AF23" s="60">
        <f>ABS(PPMT(($E$6),3,$E$8,$G$18))</f>
        <v>4416.2193053593101</v>
      </c>
      <c r="AG23" s="156">
        <f>ABS(IPMT(($E$6),3,$E$8,$G$18))</f>
        <v>2364.585664753587</v>
      </c>
      <c r="AH23" s="157">
        <f t="shared" si="20"/>
        <v>1506.8455489139769</v>
      </c>
      <c r="AI23" s="158">
        <f t="shared" si="24"/>
        <v>6780.8049701128966</v>
      </c>
      <c r="AJ23" s="60">
        <f>ABS(PPMT(($E$6),2,$E$8,$G$19))</f>
        <v>4291.7583142461699</v>
      </c>
      <c r="AK23" s="156">
        <f>ABS(IPMT(($E$6),2,$E$8,$G$19))</f>
        <v>2489.0466558667258</v>
      </c>
      <c r="AL23" s="157">
        <f t="shared" si="23"/>
        <v>1506.8455489139769</v>
      </c>
      <c r="AM23" s="158">
        <f t="shared" ref="AM23:AM39" si="26">ABS(PMT(($E$6),$E$8,G$20))</f>
        <v>6780.8049701128966</v>
      </c>
      <c r="AN23" s="60">
        <f>ABS(PPMT(($E$6),1,$E$8,$G$20))</f>
        <v>4170.8049701128966</v>
      </c>
      <c r="AO23" s="156">
        <f>ABS(IPMT(($E$6),1,$E$8,$G$20))</f>
        <v>2610</v>
      </c>
      <c r="AP23" s="157">
        <f t="shared" si="25"/>
        <v>580</v>
      </c>
      <c r="AQ23" s="158">
        <f>G$21*E$6</f>
        <v>2610</v>
      </c>
      <c r="AR23" s="60">
        <v>0</v>
      </c>
      <c r="AS23" s="156">
        <f>$G$21*$E$6</f>
        <v>2610</v>
      </c>
      <c r="AT23" s="157">
        <f t="shared" ref="AT23:AT41" si="27">AQ22*$E$9</f>
        <v>580</v>
      </c>
      <c r="AU23" s="158">
        <f>G$22*E$6</f>
        <v>2610</v>
      </c>
      <c r="AV23" s="60">
        <v>0</v>
      </c>
      <c r="AW23" s="156">
        <f>$G$22*$E$6</f>
        <v>2610</v>
      </c>
      <c r="AX23" s="157">
        <f>AU22*$E$9</f>
        <v>580</v>
      </c>
      <c r="AY23" s="158">
        <f>G$23*E$6</f>
        <v>2610</v>
      </c>
      <c r="AZ23" s="60">
        <v>0</v>
      </c>
      <c r="BA23" s="156">
        <f>$G$23*$E$6</f>
        <v>2610</v>
      </c>
      <c r="BB23" s="157"/>
    </row>
    <row r="24" spans="1:54" ht="16.899999999999999" customHeight="1" thickTop="1" x14ac:dyDescent="0.15">
      <c r="A24" s="177" t="s">
        <v>30</v>
      </c>
      <c r="B24" s="288" t="s">
        <v>31</v>
      </c>
      <c r="C24" s="289"/>
      <c r="D24" s="65"/>
      <c r="E24" s="66"/>
      <c r="F24" s="67"/>
      <c r="G24" s="67"/>
      <c r="H24" s="68">
        <f t="shared" si="1"/>
        <v>59466.43976090318</v>
      </c>
      <c r="I24" s="69">
        <f t="shared" si="9"/>
        <v>36956.849762281716</v>
      </c>
      <c r="J24" s="70">
        <f t="shared" si="7"/>
        <v>22509.589998621457</v>
      </c>
      <c r="K24" s="71">
        <f t="shared" si="8"/>
        <v>59466.43976090318</v>
      </c>
      <c r="L24" s="72">
        <f t="shared" si="10"/>
        <v>739235.908810872</v>
      </c>
      <c r="M24" s="67">
        <f t="shared" si="2"/>
        <v>12287.918842397838</v>
      </c>
      <c r="N24" s="67">
        <f t="shared" si="3"/>
        <v>47178.520918505339</v>
      </c>
      <c r="O24" s="73">
        <f t="shared" si="12"/>
        <v>6780.8049701128966</v>
      </c>
      <c r="P24" s="74">
        <f>ABS(PPMT(($E$6),8,$E$8,$G$14))</f>
        <v>5094.8042888426298</v>
      </c>
      <c r="Q24" s="83">
        <f>ABS(IPMT(($E$6),8,$E$8,$G$14))</f>
        <v>1686.0006812702668</v>
      </c>
      <c r="R24" s="84">
        <f t="shared" si="21"/>
        <v>1506.8455489139769</v>
      </c>
      <c r="S24" s="85">
        <f t="shared" si="18"/>
        <v>6780.8049701128966</v>
      </c>
      <c r="T24" s="74">
        <f>ABS(PPMT(($E$6),7,$E$8,$G$15))</f>
        <v>4951.2189395943924</v>
      </c>
      <c r="U24" s="83">
        <f>ABS(IPMT(($E$6),7,$E$8,$G$15))</f>
        <v>1829.586030518504</v>
      </c>
      <c r="V24" s="84">
        <f t="shared" si="13"/>
        <v>1506.8455489139769</v>
      </c>
      <c r="W24" s="85">
        <f t="shared" si="16"/>
        <v>6780.8049701128966</v>
      </c>
      <c r="X24" s="74">
        <f>ABS(PPMT(($E$6),6,$E$8,$G$16))</f>
        <v>4811.6802134056288</v>
      </c>
      <c r="Y24" s="83">
        <f>ABS(IPMT(($E$6),6,$E$8,$G$16))</f>
        <v>1969.1247567072674</v>
      </c>
      <c r="Z24" s="84">
        <f t="shared" si="15"/>
        <v>1506.8455489139769</v>
      </c>
      <c r="AA24" s="73">
        <f t="shared" si="19"/>
        <v>6780.8049701128966</v>
      </c>
      <c r="AB24" s="74">
        <f>ABS(PPMT(($E$6),5,$E$8,$G$17))</f>
        <v>4676.0740655059562</v>
      </c>
      <c r="AC24" s="83">
        <f>ABS(IPMT(($E$6),5,$E$8,$G$17))</f>
        <v>2104.7309046069399</v>
      </c>
      <c r="AD24" s="84">
        <f t="shared" si="17"/>
        <v>1506.8455489139769</v>
      </c>
      <c r="AE24" s="85">
        <f t="shared" si="22"/>
        <v>6780.8049701128966</v>
      </c>
      <c r="AF24" s="74">
        <f>ABS(PPMT(($E$6),4,$E$8,$G$18))</f>
        <v>4544.2896652147292</v>
      </c>
      <c r="AG24" s="83">
        <f>ABS(IPMT(($E$6),4,$E$8,$G$18))</f>
        <v>2236.515304898167</v>
      </c>
      <c r="AH24" s="84">
        <f t="shared" si="20"/>
        <v>1506.8455489139769</v>
      </c>
      <c r="AI24" s="85">
        <f t="shared" si="24"/>
        <v>6780.8049701128966</v>
      </c>
      <c r="AJ24" s="74">
        <f>ABS(PPMT(($E$6),3,$E$8,$G$19))</f>
        <v>4416.2193053593101</v>
      </c>
      <c r="AK24" s="83">
        <f>ABS(IPMT(($E$6),3,$E$8,$G$19))</f>
        <v>2364.585664753587</v>
      </c>
      <c r="AL24" s="84">
        <f t="shared" si="23"/>
        <v>1506.8455489139769</v>
      </c>
      <c r="AM24" s="153">
        <f t="shared" si="26"/>
        <v>6780.8049701128966</v>
      </c>
      <c r="AN24" s="154">
        <f>ABS(PPMT(($E$6),2,$E$8,$G$20))</f>
        <v>4291.7583142461699</v>
      </c>
      <c r="AO24" s="155">
        <f>ABS(IPMT(($E$6),2,$E$8,$G$20))</f>
        <v>2489.0466558667258</v>
      </c>
      <c r="AP24" s="84">
        <f t="shared" si="25"/>
        <v>1506.8455489139769</v>
      </c>
      <c r="AQ24" s="85">
        <f t="shared" ref="AQ24:AQ40" si="28">ABS(PMT(($E$6),$E$8,G$21))</f>
        <v>6780.8049701128966</v>
      </c>
      <c r="AR24" s="74">
        <f>ABS(PPMT(($E$6),1,$E$8,$G$21))</f>
        <v>4170.8049701128966</v>
      </c>
      <c r="AS24" s="83">
        <f>ABS(IPMT(($E$6),1,$E$8,$G$21))</f>
        <v>2610</v>
      </c>
      <c r="AT24" s="84">
        <f t="shared" si="27"/>
        <v>580</v>
      </c>
      <c r="AU24" s="85">
        <f>G$22*E$6</f>
        <v>2610</v>
      </c>
      <c r="AV24" s="74">
        <v>0</v>
      </c>
      <c r="AW24" s="83">
        <f>$G$22*$E$6</f>
        <v>2610</v>
      </c>
      <c r="AX24" s="152">
        <f t="shared" ref="AX24:AX42" si="29">AU23*$E$9</f>
        <v>580</v>
      </c>
      <c r="AY24" s="153">
        <f>G$23*E$6</f>
        <v>2610</v>
      </c>
      <c r="AZ24" s="74">
        <v>0</v>
      </c>
      <c r="BA24" s="155">
        <f>$G$23*$E$6</f>
        <v>2610</v>
      </c>
      <c r="BB24" s="84">
        <f>AY23*$E$9</f>
        <v>580</v>
      </c>
    </row>
    <row r="25" spans="1:54" ht="16.899999999999999" customHeight="1" x14ac:dyDescent="0.15">
      <c r="A25" s="175"/>
      <c r="B25" s="253" t="s">
        <v>32</v>
      </c>
      <c r="C25" s="254"/>
      <c r="D25" s="39"/>
      <c r="E25" s="79"/>
      <c r="F25" s="41"/>
      <c r="G25" s="41"/>
      <c r="H25" s="42">
        <f t="shared" si="1"/>
        <v>63637.244731016079</v>
      </c>
      <c r="I25" s="80">
        <f t="shared" si="9"/>
        <v>42199.403375500777</v>
      </c>
      <c r="J25" s="80">
        <f t="shared" si="7"/>
        <v>21437.841355515287</v>
      </c>
      <c r="K25" s="44">
        <f t="shared" si="8"/>
        <v>63637.244731016079</v>
      </c>
      <c r="L25" s="45">
        <f t="shared" si="10"/>
        <v>697036.50543537131</v>
      </c>
      <c r="M25" s="41">
        <f t="shared" si="2"/>
        <v>13214.764391311815</v>
      </c>
      <c r="N25" s="41">
        <f t="shared" si="3"/>
        <v>50422.480339704263</v>
      </c>
      <c r="O25" s="46">
        <f t="shared" si="12"/>
        <v>6780.8049701128966</v>
      </c>
      <c r="P25" s="47">
        <f>ABS(PPMT(($E$6),9,$E$8,$G$14))</f>
        <v>5242.5536132190664</v>
      </c>
      <c r="Q25" s="48">
        <f>ABS(IPMT(($E$6),9,$E$8,$G$14))</f>
        <v>1538.2513568938305</v>
      </c>
      <c r="R25" s="49">
        <f t="shared" si="21"/>
        <v>1506.8455489139769</v>
      </c>
      <c r="S25" s="50">
        <f t="shared" si="18"/>
        <v>6780.8049701128966</v>
      </c>
      <c r="T25" s="47">
        <f>ABS(PPMT(($E$6),8,$E$8,$G$15))</f>
        <v>5094.8042888426298</v>
      </c>
      <c r="U25" s="48">
        <f>ABS(IPMT(($E$6),8,$E$8,$G$15))</f>
        <v>1686.0006812702668</v>
      </c>
      <c r="V25" s="49">
        <f t="shared" si="13"/>
        <v>1506.8455489139769</v>
      </c>
      <c r="W25" s="50">
        <f t="shared" si="16"/>
        <v>6780.8049701128966</v>
      </c>
      <c r="X25" s="47">
        <f>ABS(PPMT(($E$6),7,$E$8,$G$16))</f>
        <v>4951.2189395943924</v>
      </c>
      <c r="Y25" s="48">
        <f>ABS(IPMT(($E$6),7,$E$8,$G$16))</f>
        <v>1829.586030518504</v>
      </c>
      <c r="Z25" s="49">
        <f t="shared" si="15"/>
        <v>1506.8455489139769</v>
      </c>
      <c r="AA25" s="46">
        <f t="shared" si="19"/>
        <v>6780.8049701128966</v>
      </c>
      <c r="AB25" s="47">
        <f>ABS(PPMT(($E$6),6,$E$8,$G$17))</f>
        <v>4811.6802134056288</v>
      </c>
      <c r="AC25" s="48">
        <f>ABS(IPMT(($E$6),6,$E$8,$G$17))</f>
        <v>1969.1247567072674</v>
      </c>
      <c r="AD25" s="49">
        <f t="shared" si="17"/>
        <v>1506.8455489139769</v>
      </c>
      <c r="AE25" s="50">
        <f t="shared" si="22"/>
        <v>6780.8049701128966</v>
      </c>
      <c r="AF25" s="47">
        <f>ABS(PPMT(($E$6),5,$E$8,$G$18))</f>
        <v>4676.0740655059562</v>
      </c>
      <c r="AG25" s="48">
        <f>ABS(IPMT(($E$6),5,$E$8,$G$18))</f>
        <v>2104.7309046069399</v>
      </c>
      <c r="AH25" s="49">
        <f t="shared" si="20"/>
        <v>1506.8455489139769</v>
      </c>
      <c r="AI25" s="50">
        <f t="shared" si="24"/>
        <v>6780.8049701128966</v>
      </c>
      <c r="AJ25" s="47">
        <f>ABS(PPMT(($E$6),4,$E$8,$G$19))</f>
        <v>4544.2896652147292</v>
      </c>
      <c r="AK25" s="48">
        <f>ABS(IPMT(($E$6),4,$E$8,$G$19))</f>
        <v>2236.515304898167</v>
      </c>
      <c r="AL25" s="49">
        <f t="shared" si="23"/>
        <v>1506.8455489139769</v>
      </c>
      <c r="AM25" s="63">
        <f t="shared" si="26"/>
        <v>6780.8049701128966</v>
      </c>
      <c r="AN25" s="64">
        <f>ABS(PPMT(($E$6),3,$E$8,$G$20))</f>
        <v>4416.2193053593101</v>
      </c>
      <c r="AO25" s="61">
        <f>ABS(IPMT(($E$6),3,$E$8,$G$20))</f>
        <v>2364.585664753587</v>
      </c>
      <c r="AP25" s="49">
        <f t="shared" si="25"/>
        <v>1506.8455489139769</v>
      </c>
      <c r="AQ25" s="50">
        <f t="shared" si="28"/>
        <v>6780.8049701128966</v>
      </c>
      <c r="AR25" s="47">
        <f>ABS(PPMT(($E$6),2,$E$8,$G$21))</f>
        <v>4291.7583142461699</v>
      </c>
      <c r="AS25" s="48">
        <f>ABS(IPMT(($E$6),2,$E$8,$G$21))</f>
        <v>2489.0466558667258</v>
      </c>
      <c r="AT25" s="49">
        <f t="shared" si="27"/>
        <v>1506.8455489139769</v>
      </c>
      <c r="AU25" s="50">
        <f t="shared" ref="AU25:AU41" si="30">ABS(PMT(($E$6),$E$8,G$22))</f>
        <v>6780.8049701128966</v>
      </c>
      <c r="AV25" s="47">
        <f>ABS(PPMT(($E$6),1,$E$8,$G$22))</f>
        <v>4170.8049701128966</v>
      </c>
      <c r="AW25" s="48">
        <f>ABS(IPMT(($E$6),1,$E$8,$G$22))</f>
        <v>2610</v>
      </c>
      <c r="AX25" s="62">
        <f t="shared" si="29"/>
        <v>580</v>
      </c>
      <c r="AY25" s="63">
        <f>G$23*E$6</f>
        <v>2610</v>
      </c>
      <c r="AZ25" s="47">
        <v>0</v>
      </c>
      <c r="BA25" s="61">
        <f>$G$23*$E$6</f>
        <v>2610</v>
      </c>
      <c r="BB25" s="49">
        <f t="shared" ref="BB25:BB42" si="31">AY24*$E$9</f>
        <v>580</v>
      </c>
    </row>
    <row r="26" spans="1:54" ht="16.899999999999999" customHeight="1" x14ac:dyDescent="0.15">
      <c r="A26" s="175"/>
      <c r="B26" s="253" t="s">
        <v>33</v>
      </c>
      <c r="C26" s="254"/>
      <c r="D26" s="39"/>
      <c r="E26" s="79"/>
      <c r="F26" s="41"/>
      <c r="G26" s="41"/>
      <c r="H26" s="42">
        <f t="shared" si="1"/>
        <v>67808.04970112897</v>
      </c>
      <c r="I26" s="43">
        <f t="shared" si="9"/>
        <v>47593.9910435032</v>
      </c>
      <c r="J26" s="43">
        <f t="shared" si="7"/>
        <v>20214.058657625767</v>
      </c>
      <c r="K26" s="44">
        <f t="shared" si="8"/>
        <v>67808.04970112897</v>
      </c>
      <c r="L26" s="45">
        <f t="shared" si="10"/>
        <v>649442.51439186814</v>
      </c>
      <c r="M26" s="41">
        <f t="shared" si="2"/>
        <v>14141.609940225793</v>
      </c>
      <c r="N26" s="41">
        <f t="shared" si="3"/>
        <v>53666.439760903173</v>
      </c>
      <c r="O26" s="46">
        <f t="shared" si="12"/>
        <v>6780.8049701128966</v>
      </c>
      <c r="P26" s="47">
        <f>ABS(PPMT(($E$6),10,$E$8,$G$14))</f>
        <v>5394.5876680024194</v>
      </c>
      <c r="Q26" s="48">
        <f>ABS(IPMT(($E$6),10,$E$8,$G$14))</f>
        <v>1386.2173021104772</v>
      </c>
      <c r="R26" s="49">
        <f t="shared" si="21"/>
        <v>1506.8455489139769</v>
      </c>
      <c r="S26" s="50">
        <f t="shared" si="14"/>
        <v>6780.8049701128966</v>
      </c>
      <c r="T26" s="47">
        <f>ABS(PPMT(($E$6),9,$E$8,$G$15))</f>
        <v>5242.5536132190664</v>
      </c>
      <c r="U26" s="48">
        <f>ABS(IPMT(($E$6),9,$E$8,$G$15))</f>
        <v>1538.2513568938305</v>
      </c>
      <c r="V26" s="49">
        <f t="shared" si="13"/>
        <v>1506.8455489139769</v>
      </c>
      <c r="W26" s="50">
        <f t="shared" si="16"/>
        <v>6780.8049701128966</v>
      </c>
      <c r="X26" s="47">
        <f>ABS(PPMT(($E$6),8,$E$8,$G$16))</f>
        <v>5094.8042888426298</v>
      </c>
      <c r="Y26" s="48">
        <f>ABS(IPMT(($E$6),8,$E$8,$G$16))</f>
        <v>1686.0006812702668</v>
      </c>
      <c r="Z26" s="49">
        <f t="shared" si="15"/>
        <v>1506.8455489139769</v>
      </c>
      <c r="AA26" s="46">
        <f t="shared" si="19"/>
        <v>6780.8049701128966</v>
      </c>
      <c r="AB26" s="47">
        <f>ABS(PPMT(($E$6),7,$E$8,$G$17))</f>
        <v>4951.2189395943924</v>
      </c>
      <c r="AC26" s="48">
        <f>ABS(IPMT(($E$6),7,$E$8,$G$17))</f>
        <v>1829.586030518504</v>
      </c>
      <c r="AD26" s="49">
        <f t="shared" si="17"/>
        <v>1506.8455489139769</v>
      </c>
      <c r="AE26" s="50">
        <f t="shared" si="22"/>
        <v>6780.8049701128966</v>
      </c>
      <c r="AF26" s="47">
        <f>ABS(PPMT(($E$6),6,$E$8,$G$18))</f>
        <v>4811.6802134056288</v>
      </c>
      <c r="AG26" s="48">
        <f>ABS(IPMT(($E$6),6,$E$8,$G$18))</f>
        <v>1969.1247567072674</v>
      </c>
      <c r="AH26" s="49">
        <f t="shared" si="20"/>
        <v>1506.8455489139769</v>
      </c>
      <c r="AI26" s="50">
        <f t="shared" si="24"/>
        <v>6780.8049701128966</v>
      </c>
      <c r="AJ26" s="47">
        <f>ABS(PPMT(($E$6),5,$E$8,$G$19))</f>
        <v>4676.0740655059562</v>
      </c>
      <c r="AK26" s="48">
        <f>ABS(IPMT(($E$6),5,$E$8,$G$19))</f>
        <v>2104.7309046069399</v>
      </c>
      <c r="AL26" s="49">
        <f t="shared" si="23"/>
        <v>1506.8455489139769</v>
      </c>
      <c r="AM26" s="63">
        <f t="shared" si="26"/>
        <v>6780.8049701128966</v>
      </c>
      <c r="AN26" s="64">
        <f>ABS(PPMT(($E$6),4,$E$8,$G$20))</f>
        <v>4544.2896652147292</v>
      </c>
      <c r="AO26" s="61">
        <f>ABS(IPMT(($E$6),4,$E$8,$G$20))</f>
        <v>2236.515304898167</v>
      </c>
      <c r="AP26" s="49">
        <f t="shared" si="25"/>
        <v>1506.8455489139769</v>
      </c>
      <c r="AQ26" s="50">
        <f t="shared" si="28"/>
        <v>6780.8049701128966</v>
      </c>
      <c r="AR26" s="47">
        <f>ABS(PPMT(($E$6),3,$E$8,$G$21))</f>
        <v>4416.2193053593101</v>
      </c>
      <c r="AS26" s="48">
        <f>ABS(IPMT(($E$6),3,$E$8,$G$21))</f>
        <v>2364.585664753587</v>
      </c>
      <c r="AT26" s="49">
        <f t="shared" si="27"/>
        <v>1506.8455489139769</v>
      </c>
      <c r="AU26" s="50">
        <f t="shared" si="30"/>
        <v>6780.8049701128966</v>
      </c>
      <c r="AV26" s="47">
        <f>ABS(PPMT(($E$6),2,$E$8,$G$22))</f>
        <v>4291.7583142461699</v>
      </c>
      <c r="AW26" s="48">
        <f>ABS(IPMT(($E$6),2,$E$8,$G$22))</f>
        <v>2489.0466558667258</v>
      </c>
      <c r="AX26" s="62">
        <f t="shared" si="29"/>
        <v>1506.8455489139769</v>
      </c>
      <c r="AY26" s="50">
        <f t="shared" ref="AY26:AY42" si="32">ABS(PMT(($E$6),$E$8,G$23))</f>
        <v>6780.8049701128966</v>
      </c>
      <c r="AZ26" s="47">
        <f>ABS(PPMT(($E$6),1,$E$8,$G$23))</f>
        <v>4170.8049701128966</v>
      </c>
      <c r="BA26" s="48">
        <f>ABS(IPMT(($E$6),1,$E$8,$G$23))</f>
        <v>2610</v>
      </c>
      <c r="BB26" s="49">
        <f t="shared" si="31"/>
        <v>580</v>
      </c>
    </row>
    <row r="27" spans="1:54" ht="16.899999999999999" customHeight="1" x14ac:dyDescent="0.15">
      <c r="A27" s="175"/>
      <c r="B27" s="253" t="s">
        <v>34</v>
      </c>
      <c r="C27" s="254"/>
      <c r="D27" s="39"/>
      <c r="E27" s="79"/>
      <c r="F27" s="41"/>
      <c r="G27" s="41"/>
      <c r="H27" s="42">
        <f t="shared" si="1"/>
        <v>67808.04970112897</v>
      </c>
      <c r="I27" s="43">
        <f t="shared" si="9"/>
        <v>48974.216783764787</v>
      </c>
      <c r="J27" s="43">
        <f t="shared" si="7"/>
        <v>18833.832917364172</v>
      </c>
      <c r="K27" s="44">
        <f t="shared" si="8"/>
        <v>67808.04970112897</v>
      </c>
      <c r="L27" s="45">
        <f t="shared" si="10"/>
        <v>600468.29760810337</v>
      </c>
      <c r="M27" s="41">
        <f t="shared" si="2"/>
        <v>15068.455489139771</v>
      </c>
      <c r="N27" s="41">
        <f t="shared" si="3"/>
        <v>52739.594211989199</v>
      </c>
      <c r="O27" s="46">
        <f t="shared" si="12"/>
        <v>6780.8049701128966</v>
      </c>
      <c r="P27" s="47">
        <f>ABS(PPMT(($E$6),11,$E$8,$G$14))</f>
        <v>5551.030710374489</v>
      </c>
      <c r="Q27" s="48">
        <f>ABS(IPMT(($E$6),11,$E$8,$G$14))</f>
        <v>1229.774259738407</v>
      </c>
      <c r="R27" s="49">
        <f t="shared" si="21"/>
        <v>1506.8455489139769</v>
      </c>
      <c r="S27" s="50">
        <f t="shared" si="14"/>
        <v>6780.8049701128966</v>
      </c>
      <c r="T27" s="47">
        <f>ABS(PPMT(($E$6),10,$E$8,$G$15))</f>
        <v>5394.5876680024194</v>
      </c>
      <c r="U27" s="48">
        <f>ABS(IPMT(($E$6),10,$E$8,$G$15))</f>
        <v>1386.2173021104772</v>
      </c>
      <c r="V27" s="49">
        <f t="shared" si="13"/>
        <v>1506.8455489139769</v>
      </c>
      <c r="W27" s="50">
        <f t="shared" si="16"/>
        <v>6780.8049701128966</v>
      </c>
      <c r="X27" s="47">
        <f>ABS(PPMT(($E$6),9,$E$8,$G$16))</f>
        <v>5242.5536132190664</v>
      </c>
      <c r="Y27" s="48">
        <f>ABS(IPMT(($E$6),9,$E$8,$G$16))</f>
        <v>1538.2513568938305</v>
      </c>
      <c r="Z27" s="49">
        <f t="shared" si="15"/>
        <v>1506.8455489139769</v>
      </c>
      <c r="AA27" s="46">
        <f t="shared" si="19"/>
        <v>6780.8049701128966</v>
      </c>
      <c r="AB27" s="47">
        <f>ABS(PPMT(($E$6),8,$E$8,$G$17))</f>
        <v>5094.8042888426298</v>
      </c>
      <c r="AC27" s="48">
        <f>ABS(IPMT(($E$6),8,$E$8,$G$17))</f>
        <v>1686.0006812702668</v>
      </c>
      <c r="AD27" s="49">
        <f t="shared" si="17"/>
        <v>1506.8455489139769</v>
      </c>
      <c r="AE27" s="50">
        <f t="shared" si="22"/>
        <v>6780.8049701128966</v>
      </c>
      <c r="AF27" s="47">
        <f>ABS(PPMT(($E$6),7,$E$8,$G$18))</f>
        <v>4951.2189395943924</v>
      </c>
      <c r="AG27" s="48">
        <f>ABS(IPMT(($E$6),7,$E$8,$G$18))</f>
        <v>1829.586030518504</v>
      </c>
      <c r="AH27" s="49">
        <f t="shared" si="20"/>
        <v>1506.8455489139769</v>
      </c>
      <c r="AI27" s="50">
        <f t="shared" si="24"/>
        <v>6780.8049701128966</v>
      </c>
      <c r="AJ27" s="47">
        <f>ABS(PPMT(($E$6),6,$E$8,$G$19))</f>
        <v>4811.6802134056288</v>
      </c>
      <c r="AK27" s="48">
        <f>ABS(IPMT(($E$6),6,$E$8,$G$19))</f>
        <v>1969.1247567072674</v>
      </c>
      <c r="AL27" s="49">
        <f t="shared" si="23"/>
        <v>1506.8455489139769</v>
      </c>
      <c r="AM27" s="63">
        <f t="shared" si="26"/>
        <v>6780.8049701128966</v>
      </c>
      <c r="AN27" s="64">
        <f>ABS(PPMT(($E$6),5,$E$8,$G$20))</f>
        <v>4676.0740655059562</v>
      </c>
      <c r="AO27" s="61">
        <f>ABS(IPMT(($E$6),5,$E$8,$G$20))</f>
        <v>2104.7309046069399</v>
      </c>
      <c r="AP27" s="49">
        <f t="shared" si="25"/>
        <v>1506.8455489139769</v>
      </c>
      <c r="AQ27" s="50">
        <f t="shared" si="28"/>
        <v>6780.8049701128966</v>
      </c>
      <c r="AR27" s="47">
        <f>ABS(PPMT(($E$6),4,$E$8,$G$21))</f>
        <v>4544.2896652147292</v>
      </c>
      <c r="AS27" s="48">
        <f>ABS(IPMT(($E$6),4,$E$8,$G$21))</f>
        <v>2236.515304898167</v>
      </c>
      <c r="AT27" s="49">
        <f t="shared" si="27"/>
        <v>1506.8455489139769</v>
      </c>
      <c r="AU27" s="50">
        <f t="shared" si="30"/>
        <v>6780.8049701128966</v>
      </c>
      <c r="AV27" s="47">
        <f>ABS(PPMT(($E$6),3,$E$8,$G$22))</f>
        <v>4416.2193053593101</v>
      </c>
      <c r="AW27" s="48">
        <f>ABS(IPMT(($E$6),3,$E$8,$G$22))</f>
        <v>2364.585664753587</v>
      </c>
      <c r="AX27" s="62">
        <f t="shared" si="29"/>
        <v>1506.8455489139769</v>
      </c>
      <c r="AY27" s="50">
        <f t="shared" si="32"/>
        <v>6780.8049701128966</v>
      </c>
      <c r="AZ27" s="47">
        <f>ABS(PPMT(($E$6),2,$E$8,$G$23))</f>
        <v>4291.7583142461699</v>
      </c>
      <c r="BA27" s="48">
        <f>ABS(IPMT(($E$6),2,$E$8,$G$23))</f>
        <v>2489.0466558667258</v>
      </c>
      <c r="BB27" s="49">
        <f t="shared" si="31"/>
        <v>1506.8455489139769</v>
      </c>
    </row>
    <row r="28" spans="1:54" ht="16.899999999999999" customHeight="1" x14ac:dyDescent="0.15">
      <c r="A28" s="175"/>
      <c r="B28" s="253" t="s">
        <v>35</v>
      </c>
      <c r="C28" s="254"/>
      <c r="D28" s="39"/>
      <c r="E28" s="79"/>
      <c r="F28" s="41"/>
      <c r="G28" s="41"/>
      <c r="H28" s="42">
        <f t="shared" si="1"/>
        <v>67808.04970112897</v>
      </c>
      <c r="I28" s="43">
        <f t="shared" si="9"/>
        <v>50394.469070493971</v>
      </c>
      <c r="J28" s="43">
        <f t="shared" si="7"/>
        <v>17413.580630634995</v>
      </c>
      <c r="K28" s="44">
        <f t="shared" si="8"/>
        <v>67808.04970112897</v>
      </c>
      <c r="L28" s="45">
        <f t="shared" si="10"/>
        <v>550073.82853760943</v>
      </c>
      <c r="M28" s="41">
        <f t="shared" si="2"/>
        <v>15068.455489139771</v>
      </c>
      <c r="N28" s="41">
        <f t="shared" si="3"/>
        <v>52739.594211989199</v>
      </c>
      <c r="O28" s="46">
        <f t="shared" si="12"/>
        <v>6780.8049701128966</v>
      </c>
      <c r="P28" s="47">
        <f>ABS(PPMT(($E$6),12,$E$8,$G$14))</f>
        <v>5712.0106009753499</v>
      </c>
      <c r="Q28" s="48">
        <f>ABS(IPMT(($E$6),12,$E$8,$G$14))</f>
        <v>1068.7943691375469</v>
      </c>
      <c r="R28" s="49">
        <f t="shared" si="21"/>
        <v>1506.8455489139769</v>
      </c>
      <c r="S28" s="50">
        <f t="shared" si="14"/>
        <v>6780.8049701128966</v>
      </c>
      <c r="T28" s="47">
        <f>ABS(PPMT(($E$6),11,$E$8,$G$15))</f>
        <v>5551.030710374489</v>
      </c>
      <c r="U28" s="48">
        <f>ABS(IPMT(($E$6),11,$E$8,$G$15))</f>
        <v>1229.774259738407</v>
      </c>
      <c r="V28" s="49">
        <f t="shared" si="13"/>
        <v>1506.8455489139769</v>
      </c>
      <c r="W28" s="50">
        <f>ABS(PMT(($E$6),$E$8,G$16))</f>
        <v>6780.8049701128966</v>
      </c>
      <c r="X28" s="47">
        <f>ABS(PPMT(($E$6),10,$E$8,$G$16))</f>
        <v>5394.5876680024194</v>
      </c>
      <c r="Y28" s="48">
        <f>ABS(IPMT(($E$6),10,$E$8,$G$16))</f>
        <v>1386.2173021104772</v>
      </c>
      <c r="Z28" s="49">
        <f t="shared" si="15"/>
        <v>1506.8455489139769</v>
      </c>
      <c r="AA28" s="46">
        <f t="shared" si="19"/>
        <v>6780.8049701128966</v>
      </c>
      <c r="AB28" s="47">
        <f>ABS(PPMT(($E$6),9,$E$8,$G$17))</f>
        <v>5242.5536132190664</v>
      </c>
      <c r="AC28" s="48">
        <f>ABS(IPMT(($E$6),9,$E$8,$G$17))</f>
        <v>1538.2513568938305</v>
      </c>
      <c r="AD28" s="49">
        <f t="shared" si="17"/>
        <v>1506.8455489139769</v>
      </c>
      <c r="AE28" s="50">
        <f t="shared" si="22"/>
        <v>6780.8049701128966</v>
      </c>
      <c r="AF28" s="47">
        <f>ABS(PPMT(($E$6),8,$E$8,$G$18))</f>
        <v>5094.8042888426298</v>
      </c>
      <c r="AG28" s="48">
        <f>ABS(IPMT(($E$6),8,$E$8,$G$18))</f>
        <v>1686.0006812702668</v>
      </c>
      <c r="AH28" s="49">
        <f t="shared" si="20"/>
        <v>1506.8455489139769</v>
      </c>
      <c r="AI28" s="50">
        <f t="shared" si="24"/>
        <v>6780.8049701128966</v>
      </c>
      <c r="AJ28" s="47">
        <f>ABS(PPMT(($E$6),7,$E$8,$G$19))</f>
        <v>4951.2189395943924</v>
      </c>
      <c r="AK28" s="48">
        <f>ABS(IPMT(($E$6),7,$E$8,$G$19))</f>
        <v>1829.586030518504</v>
      </c>
      <c r="AL28" s="49">
        <f t="shared" si="23"/>
        <v>1506.8455489139769</v>
      </c>
      <c r="AM28" s="63">
        <f t="shared" si="26"/>
        <v>6780.8049701128966</v>
      </c>
      <c r="AN28" s="64">
        <f>ABS(PPMT(($E$6),6,$E$8,$G$20))</f>
        <v>4811.6802134056288</v>
      </c>
      <c r="AO28" s="61">
        <f>ABS(IPMT(($E$6),6,$E$8,$G$20))</f>
        <v>1969.1247567072674</v>
      </c>
      <c r="AP28" s="49">
        <f t="shared" si="25"/>
        <v>1506.8455489139769</v>
      </c>
      <c r="AQ28" s="50">
        <f t="shared" si="28"/>
        <v>6780.8049701128966</v>
      </c>
      <c r="AR28" s="47">
        <f>ABS(PPMT(($E$6),5,$E$8,$G$21))</f>
        <v>4676.0740655059562</v>
      </c>
      <c r="AS28" s="48">
        <f>ABS(IPMT(($E$6),5,$E$8,$G$21))</f>
        <v>2104.7309046069399</v>
      </c>
      <c r="AT28" s="49">
        <f t="shared" si="27"/>
        <v>1506.8455489139769</v>
      </c>
      <c r="AU28" s="50">
        <f t="shared" si="30"/>
        <v>6780.8049701128966</v>
      </c>
      <c r="AV28" s="47">
        <f>ABS(PPMT(($E$6),4,$E$8,$G$22))</f>
        <v>4544.2896652147292</v>
      </c>
      <c r="AW28" s="48">
        <f>ABS(IPMT(($E$6),4,$E$8,$G$22))</f>
        <v>2236.515304898167</v>
      </c>
      <c r="AX28" s="62">
        <f t="shared" si="29"/>
        <v>1506.8455489139769</v>
      </c>
      <c r="AY28" s="50">
        <f t="shared" si="32"/>
        <v>6780.8049701128966</v>
      </c>
      <c r="AZ28" s="47">
        <f>ABS(PPMT(($E$6),3,$E$8,$G$23))</f>
        <v>4416.2193053593101</v>
      </c>
      <c r="BA28" s="48">
        <f>ABS(IPMT(($E$6),3,$E$8,$G$23))</f>
        <v>2364.585664753587</v>
      </c>
      <c r="BB28" s="49">
        <f t="shared" si="31"/>
        <v>1506.8455489139769</v>
      </c>
    </row>
    <row r="29" spans="1:54" ht="16.899999999999999" customHeight="1" x14ac:dyDescent="0.15">
      <c r="A29" s="175"/>
      <c r="B29" s="253" t="s">
        <v>36</v>
      </c>
      <c r="C29" s="254"/>
      <c r="D29" s="39"/>
      <c r="E29" s="79"/>
      <c r="F29" s="41"/>
      <c r="G29" s="41"/>
      <c r="H29" s="42">
        <f t="shared" si="1"/>
        <v>67808.04970112897</v>
      </c>
      <c r="I29" s="43">
        <f t="shared" si="9"/>
        <v>51855.908673538295</v>
      </c>
      <c r="J29" s="43">
        <f t="shared" si="7"/>
        <v>15952.141027590667</v>
      </c>
      <c r="K29" s="44">
        <f t="shared" si="8"/>
        <v>67808.04970112897</v>
      </c>
      <c r="L29" s="45">
        <f t="shared" si="10"/>
        <v>498217.91986407113</v>
      </c>
      <c r="M29" s="41">
        <f t="shared" si="2"/>
        <v>15068.455489139771</v>
      </c>
      <c r="N29" s="41">
        <f t="shared" si="3"/>
        <v>52739.594211989199</v>
      </c>
      <c r="O29" s="46">
        <f t="shared" si="12"/>
        <v>6780.8049701128966</v>
      </c>
      <c r="P29" s="47">
        <f>ABS(PPMT(($E$6),13,$E$8,$G$14))</f>
        <v>5877.658908403635</v>
      </c>
      <c r="Q29" s="48">
        <f>ABS(IPMT(($E$6),13,$E$8,$G$14))</f>
        <v>903.14606170926163</v>
      </c>
      <c r="R29" s="49">
        <f t="shared" si="21"/>
        <v>1506.8455489139769</v>
      </c>
      <c r="S29" s="50">
        <f t="shared" si="14"/>
        <v>6780.8049701128966</v>
      </c>
      <c r="T29" s="47">
        <f>ABS(PPMT(($E$6),12,$E$8,$G$15))</f>
        <v>5712.0106009753499</v>
      </c>
      <c r="U29" s="48">
        <f>ABS(IPMT(($E$6),12,$E$8,$G$15))</f>
        <v>1068.7943691375469</v>
      </c>
      <c r="V29" s="49">
        <f t="shared" si="13"/>
        <v>1506.8455489139769</v>
      </c>
      <c r="W29" s="50">
        <f>ABS(PMT(($E$6),$E$8,G$16))</f>
        <v>6780.8049701128966</v>
      </c>
      <c r="X29" s="47">
        <f>ABS(PPMT(($E$6),11,$E$8,$G$16))</f>
        <v>5551.030710374489</v>
      </c>
      <c r="Y29" s="48">
        <f>ABS(IPMT(($E$6),11,$E$8,$G$16))</f>
        <v>1229.774259738407</v>
      </c>
      <c r="Z29" s="49">
        <f t="shared" si="15"/>
        <v>1506.8455489139769</v>
      </c>
      <c r="AA29" s="46">
        <f t="shared" si="19"/>
        <v>6780.8049701128966</v>
      </c>
      <c r="AB29" s="47">
        <f>ABS(PPMT(($E$6),10,$E$8,$G$17))</f>
        <v>5394.5876680024194</v>
      </c>
      <c r="AC29" s="48">
        <f>ABS(IPMT(($E$6),10,$E$8,$G$17))</f>
        <v>1386.2173021104772</v>
      </c>
      <c r="AD29" s="49">
        <f t="shared" si="17"/>
        <v>1506.8455489139769</v>
      </c>
      <c r="AE29" s="50">
        <f t="shared" si="22"/>
        <v>6780.8049701128966</v>
      </c>
      <c r="AF29" s="47">
        <f>ABS(PPMT(($E$6),9,$E$8,$G$18))</f>
        <v>5242.5536132190664</v>
      </c>
      <c r="AG29" s="48">
        <f>ABS(IPMT(($E$6),9,$E$8,$G$18))</f>
        <v>1538.2513568938305</v>
      </c>
      <c r="AH29" s="49">
        <f t="shared" si="20"/>
        <v>1506.8455489139769</v>
      </c>
      <c r="AI29" s="50">
        <f t="shared" si="24"/>
        <v>6780.8049701128966</v>
      </c>
      <c r="AJ29" s="47">
        <f>ABS(PPMT(($E$6),8,$E$8,$G$19))</f>
        <v>5094.8042888426298</v>
      </c>
      <c r="AK29" s="48">
        <f>ABS(IPMT(($E$6),8,$E$8,$G$19))</f>
        <v>1686.0006812702668</v>
      </c>
      <c r="AL29" s="49">
        <f t="shared" si="23"/>
        <v>1506.8455489139769</v>
      </c>
      <c r="AM29" s="63">
        <f t="shared" si="26"/>
        <v>6780.8049701128966</v>
      </c>
      <c r="AN29" s="64">
        <f>ABS(PPMT(($E$6),7,$E$8,$G$20))</f>
        <v>4951.2189395943924</v>
      </c>
      <c r="AO29" s="61">
        <f>ABS(IPMT(($E$6),7,$E$8,$G$20))</f>
        <v>1829.586030518504</v>
      </c>
      <c r="AP29" s="49">
        <f t="shared" si="25"/>
        <v>1506.8455489139769</v>
      </c>
      <c r="AQ29" s="50">
        <f t="shared" si="28"/>
        <v>6780.8049701128966</v>
      </c>
      <c r="AR29" s="47">
        <f>ABS(PPMT(($E$6),6,$E$8,$G$21))</f>
        <v>4811.6802134056288</v>
      </c>
      <c r="AS29" s="48">
        <f>ABS(IPMT(($E$6),6,$E$8,$G$21))</f>
        <v>1969.1247567072674</v>
      </c>
      <c r="AT29" s="49">
        <f t="shared" si="27"/>
        <v>1506.8455489139769</v>
      </c>
      <c r="AU29" s="50">
        <f t="shared" si="30"/>
        <v>6780.8049701128966</v>
      </c>
      <c r="AV29" s="47">
        <f>ABS(PPMT(($E$6),5,$E$8,$G$22))</f>
        <v>4676.0740655059562</v>
      </c>
      <c r="AW29" s="48">
        <f>ABS(IPMT(($E$6),5,$E$8,$G$22))</f>
        <v>2104.7309046069399</v>
      </c>
      <c r="AX29" s="62">
        <f t="shared" si="29"/>
        <v>1506.8455489139769</v>
      </c>
      <c r="AY29" s="50">
        <f t="shared" si="32"/>
        <v>6780.8049701128966</v>
      </c>
      <c r="AZ29" s="47">
        <f>ABS(PPMT(($E$6),4,$E$8,$G$23))</f>
        <v>4544.2896652147292</v>
      </c>
      <c r="BA29" s="48">
        <f>ABS(IPMT(($E$6),4,$E$8,$G$23))</f>
        <v>2236.515304898167</v>
      </c>
      <c r="BB29" s="49">
        <f t="shared" si="31"/>
        <v>1506.8455489139769</v>
      </c>
    </row>
    <row r="30" spans="1:54" ht="16.899999999999999" customHeight="1" x14ac:dyDescent="0.15">
      <c r="A30" s="175"/>
      <c r="B30" s="253" t="s">
        <v>37</v>
      </c>
      <c r="C30" s="254"/>
      <c r="D30" s="39"/>
      <c r="E30" s="79"/>
      <c r="F30" s="41"/>
      <c r="G30" s="41"/>
      <c r="H30" s="42">
        <f t="shared" si="1"/>
        <v>67808.04970112897</v>
      </c>
      <c r="I30" s="43">
        <f t="shared" si="9"/>
        <v>53359.730025070909</v>
      </c>
      <c r="J30" s="43">
        <f t="shared" si="7"/>
        <v>14448.319676058058</v>
      </c>
      <c r="K30" s="44">
        <f t="shared" si="8"/>
        <v>67808.04970112897</v>
      </c>
      <c r="L30" s="45">
        <f t="shared" si="10"/>
        <v>444858.18983900017</v>
      </c>
      <c r="M30" s="41">
        <f t="shared" si="2"/>
        <v>15068.455489139771</v>
      </c>
      <c r="N30" s="41">
        <f t="shared" si="3"/>
        <v>52739.594211989199</v>
      </c>
      <c r="O30" s="46">
        <f t="shared" si="12"/>
        <v>6780.8049701128966</v>
      </c>
      <c r="P30" s="47">
        <f>ABS(PPMT(($E$6),14,$E$8,$G$14))</f>
        <v>6048.1110167473407</v>
      </c>
      <c r="Q30" s="48">
        <f>ABS(IPMT(($E$6),14,$E$8,$G$14))</f>
        <v>732.69395336555635</v>
      </c>
      <c r="R30" s="49">
        <f t="shared" si="21"/>
        <v>1506.8455489139769</v>
      </c>
      <c r="S30" s="50">
        <f t="shared" si="14"/>
        <v>6780.8049701128966</v>
      </c>
      <c r="T30" s="47">
        <f>ABS(PPMT(($E$6),13,$E$8,$G$15))</f>
        <v>5877.658908403635</v>
      </c>
      <c r="U30" s="48">
        <f>ABS(IPMT(($E$6),13,$E$8,$G$15))</f>
        <v>903.14606170926163</v>
      </c>
      <c r="V30" s="49">
        <f t="shared" si="13"/>
        <v>1506.8455489139769</v>
      </c>
      <c r="W30" s="50">
        <f>ABS(PMT(($E$6),$E$8,G$16))</f>
        <v>6780.8049701128966</v>
      </c>
      <c r="X30" s="47">
        <f>ABS(PPMT(($E$6),12,$E$8,$G$16))</f>
        <v>5712.0106009753499</v>
      </c>
      <c r="Y30" s="48">
        <f>ABS(IPMT(($E$6),12,$E$8,$G$16))</f>
        <v>1068.7943691375469</v>
      </c>
      <c r="Z30" s="49">
        <f t="shared" si="15"/>
        <v>1506.8455489139769</v>
      </c>
      <c r="AA30" s="46">
        <f t="shared" si="19"/>
        <v>6780.8049701128966</v>
      </c>
      <c r="AB30" s="47">
        <f>ABS(PPMT(($E$6),11,$E$8,$G$17))</f>
        <v>5551.030710374489</v>
      </c>
      <c r="AC30" s="48">
        <f>ABS(IPMT(($E$6),11,$E$8,$G$17))</f>
        <v>1229.774259738407</v>
      </c>
      <c r="AD30" s="49">
        <f t="shared" si="17"/>
        <v>1506.8455489139769</v>
      </c>
      <c r="AE30" s="50">
        <f t="shared" si="22"/>
        <v>6780.8049701128966</v>
      </c>
      <c r="AF30" s="47">
        <f>ABS(PPMT(($E$6),10,$E$8,$G$18))</f>
        <v>5394.5876680024194</v>
      </c>
      <c r="AG30" s="48">
        <f>ABS(IPMT(($E$6),10,$E$8,$G$18))</f>
        <v>1386.2173021104772</v>
      </c>
      <c r="AH30" s="49">
        <f t="shared" si="20"/>
        <v>1506.8455489139769</v>
      </c>
      <c r="AI30" s="50">
        <f t="shared" si="24"/>
        <v>6780.8049701128966</v>
      </c>
      <c r="AJ30" s="47">
        <f>ABS(PPMT(($E$6),9,$E$8,$G$19))</f>
        <v>5242.5536132190664</v>
      </c>
      <c r="AK30" s="48">
        <f>ABS(IPMT(($E$6),9,$E$8,$G$19))</f>
        <v>1538.2513568938305</v>
      </c>
      <c r="AL30" s="49">
        <f t="shared" si="23"/>
        <v>1506.8455489139769</v>
      </c>
      <c r="AM30" s="63">
        <f t="shared" si="26"/>
        <v>6780.8049701128966</v>
      </c>
      <c r="AN30" s="64">
        <f>ABS(PPMT(($E$6),8,$E$8,$G$20))</f>
        <v>5094.8042888426298</v>
      </c>
      <c r="AO30" s="61">
        <f>ABS(IPMT(($E$6),8,$E$8,$G$20))</f>
        <v>1686.0006812702668</v>
      </c>
      <c r="AP30" s="49">
        <f t="shared" si="25"/>
        <v>1506.8455489139769</v>
      </c>
      <c r="AQ30" s="50">
        <f t="shared" si="28"/>
        <v>6780.8049701128966</v>
      </c>
      <c r="AR30" s="47">
        <f>ABS(PPMT(($E$6),7,$E$8,$G$21))</f>
        <v>4951.2189395943924</v>
      </c>
      <c r="AS30" s="48">
        <f>ABS(IPMT(($E$6),7,$E$8,$G$21))</f>
        <v>1829.586030518504</v>
      </c>
      <c r="AT30" s="49">
        <f t="shared" si="27"/>
        <v>1506.8455489139769</v>
      </c>
      <c r="AU30" s="50">
        <f t="shared" si="30"/>
        <v>6780.8049701128966</v>
      </c>
      <c r="AV30" s="47">
        <f>ABS(PPMT(($E$6),6,$E$8,$G$22))</f>
        <v>4811.6802134056288</v>
      </c>
      <c r="AW30" s="48">
        <f>ABS(IPMT(($E$6),6,$E$8,$G$22))</f>
        <v>1969.1247567072674</v>
      </c>
      <c r="AX30" s="62">
        <f t="shared" si="29"/>
        <v>1506.8455489139769</v>
      </c>
      <c r="AY30" s="50">
        <f t="shared" si="32"/>
        <v>6780.8049701128966</v>
      </c>
      <c r="AZ30" s="47">
        <f>ABS(PPMT(($E$6),5,$E$8,$G$23))</f>
        <v>4676.0740655059562</v>
      </c>
      <c r="BA30" s="48">
        <f>ABS(IPMT(($E$6),5,$E$8,$G$23))</f>
        <v>2104.7309046069399</v>
      </c>
      <c r="BB30" s="49">
        <f t="shared" si="31"/>
        <v>1506.8455489139769</v>
      </c>
    </row>
    <row r="31" spans="1:54" ht="16.899999999999999" customHeight="1" x14ac:dyDescent="0.15">
      <c r="A31" s="175"/>
      <c r="B31" s="253" t="s">
        <v>38</v>
      </c>
      <c r="C31" s="254"/>
      <c r="D31" s="39"/>
      <c r="E31" s="79"/>
      <c r="F31" s="41"/>
      <c r="G31" s="41"/>
      <c r="H31" s="42">
        <f t="shared" si="1"/>
        <v>67808.04970112897</v>
      </c>
      <c r="I31" s="43">
        <f t="shared" si="9"/>
        <v>54907.162195797966</v>
      </c>
      <c r="J31" s="43">
        <f t="shared" si="7"/>
        <v>12900.887505331</v>
      </c>
      <c r="K31" s="44">
        <f t="shared" si="8"/>
        <v>67808.04970112897</v>
      </c>
      <c r="L31" s="45">
        <f t="shared" si="10"/>
        <v>389951.02764320216</v>
      </c>
      <c r="M31" s="41">
        <f t="shared" si="2"/>
        <v>15068.455489139771</v>
      </c>
      <c r="N31" s="41">
        <f t="shared" si="3"/>
        <v>52739.594211989199</v>
      </c>
      <c r="O31" s="46">
        <f t="shared" si="12"/>
        <v>6780.8049701128966</v>
      </c>
      <c r="P31" s="47">
        <f>ABS(PPMT(($E$6),15,$E$8,$G$14))</f>
        <v>6223.5062362330127</v>
      </c>
      <c r="Q31" s="48">
        <f>ABS(IPMT(($E$6),15,$E$8,$G$14))</f>
        <v>557.29873387988357</v>
      </c>
      <c r="R31" s="49">
        <f t="shared" si="21"/>
        <v>1506.8455489139769</v>
      </c>
      <c r="S31" s="50">
        <f t="shared" si="14"/>
        <v>6780.8049701128966</v>
      </c>
      <c r="T31" s="47">
        <f>ABS(PPMT(($E$6),14,$E$8,$G$15))</f>
        <v>6048.1110167473407</v>
      </c>
      <c r="U31" s="48">
        <f>ABS(IPMT(($E$6),14,$E$8,$G$15))</f>
        <v>732.69395336555635</v>
      </c>
      <c r="V31" s="49">
        <f t="shared" si="13"/>
        <v>1506.8455489139769</v>
      </c>
      <c r="W31" s="50">
        <f>ABS(PMT(($E$6),$E$8,G$16))</f>
        <v>6780.8049701128966</v>
      </c>
      <c r="X31" s="47">
        <f>ABS(PPMT(($E$6),13,$E$8,$G$16))</f>
        <v>5877.658908403635</v>
      </c>
      <c r="Y31" s="48">
        <f>ABS(IPMT(($E$6),13,$E$8,$G$16))</f>
        <v>903.14606170926163</v>
      </c>
      <c r="Z31" s="49">
        <f t="shared" si="15"/>
        <v>1506.8455489139769</v>
      </c>
      <c r="AA31" s="46">
        <f t="shared" si="19"/>
        <v>6780.8049701128966</v>
      </c>
      <c r="AB31" s="47">
        <f>ABS(PPMT(($E$6),12,$E$8,$G$17))</f>
        <v>5712.0106009753499</v>
      </c>
      <c r="AC31" s="48">
        <f>ABS(IPMT(($E$6),12,$E$8,$G$17))</f>
        <v>1068.7943691375469</v>
      </c>
      <c r="AD31" s="49">
        <f t="shared" si="17"/>
        <v>1506.8455489139769</v>
      </c>
      <c r="AE31" s="50">
        <f t="shared" si="22"/>
        <v>6780.8049701128966</v>
      </c>
      <c r="AF31" s="47">
        <f>ABS(PPMT(($E$6),11,$E$8,$G$18))</f>
        <v>5551.030710374489</v>
      </c>
      <c r="AG31" s="48">
        <f>ABS(IPMT(($E$6),11,$E$8,$G$18))</f>
        <v>1229.774259738407</v>
      </c>
      <c r="AH31" s="49">
        <f t="shared" si="20"/>
        <v>1506.8455489139769</v>
      </c>
      <c r="AI31" s="50">
        <f t="shared" si="24"/>
        <v>6780.8049701128966</v>
      </c>
      <c r="AJ31" s="47">
        <f>ABS(PPMT(($E$6),10,$E$8,$G$19))</f>
        <v>5394.5876680024194</v>
      </c>
      <c r="AK31" s="48">
        <f>ABS(IPMT(($E$6),10,$E$8,$G$19))</f>
        <v>1386.2173021104772</v>
      </c>
      <c r="AL31" s="49">
        <f t="shared" si="23"/>
        <v>1506.8455489139769</v>
      </c>
      <c r="AM31" s="63">
        <f t="shared" si="26"/>
        <v>6780.8049701128966</v>
      </c>
      <c r="AN31" s="64">
        <f>ABS(PPMT(($E$6),9,$E$8,$G$20))</f>
        <v>5242.5536132190664</v>
      </c>
      <c r="AO31" s="61">
        <f>ABS(IPMT(($E$6),9,$E$8,$G$20))</f>
        <v>1538.2513568938305</v>
      </c>
      <c r="AP31" s="49">
        <f t="shared" si="25"/>
        <v>1506.8455489139769</v>
      </c>
      <c r="AQ31" s="50">
        <f t="shared" si="28"/>
        <v>6780.8049701128966</v>
      </c>
      <c r="AR31" s="47">
        <f>ABS(PPMT(($E$6),8,$E$8,$G$21))</f>
        <v>5094.8042888426298</v>
      </c>
      <c r="AS31" s="48">
        <f>ABS(IPMT(($E$6),8,$E$8,$G$21))</f>
        <v>1686.0006812702668</v>
      </c>
      <c r="AT31" s="49">
        <f t="shared" si="27"/>
        <v>1506.8455489139769</v>
      </c>
      <c r="AU31" s="50">
        <f t="shared" si="30"/>
        <v>6780.8049701128966</v>
      </c>
      <c r="AV31" s="47">
        <f>ABS(PPMT(($E$6),7,$E$8,$G$22))</f>
        <v>4951.2189395943924</v>
      </c>
      <c r="AW31" s="48">
        <f>ABS(IPMT(($E$6),7,$E$8,$G$22))</f>
        <v>1829.586030518504</v>
      </c>
      <c r="AX31" s="62">
        <f t="shared" si="29"/>
        <v>1506.8455489139769</v>
      </c>
      <c r="AY31" s="50">
        <f t="shared" si="32"/>
        <v>6780.8049701128966</v>
      </c>
      <c r="AZ31" s="47">
        <f>ABS(PPMT(($E$6),6,$E$8,$G$23))</f>
        <v>4811.6802134056288</v>
      </c>
      <c r="BA31" s="48">
        <f>ABS(IPMT(($E$6),6,$E$8,$G$23))</f>
        <v>1969.1247567072674</v>
      </c>
      <c r="BB31" s="49">
        <f t="shared" si="31"/>
        <v>1506.8455489139769</v>
      </c>
    </row>
    <row r="32" spans="1:54" ht="16.899999999999999" customHeight="1" x14ac:dyDescent="0.15">
      <c r="A32" s="175"/>
      <c r="B32" s="253" t="s">
        <v>39</v>
      </c>
      <c r="C32" s="254"/>
      <c r="D32" s="39"/>
      <c r="E32" s="66"/>
      <c r="F32" s="67"/>
      <c r="G32" s="67"/>
      <c r="H32" s="42">
        <f t="shared" si="1"/>
        <v>67808.04970112897</v>
      </c>
      <c r="I32" s="43">
        <f t="shared" si="9"/>
        <v>56499.469899476113</v>
      </c>
      <c r="J32" s="43">
        <f t="shared" si="7"/>
        <v>11308.579801652859</v>
      </c>
      <c r="K32" s="44">
        <f t="shared" si="8"/>
        <v>67808.04970112897</v>
      </c>
      <c r="L32" s="45">
        <f t="shared" si="10"/>
        <v>333451.55774372601</v>
      </c>
      <c r="M32" s="41">
        <f t="shared" si="2"/>
        <v>15068.455489139771</v>
      </c>
      <c r="N32" s="41">
        <f t="shared" si="3"/>
        <v>52739.594211989199</v>
      </c>
      <c r="O32" s="46">
        <f t="shared" si="12"/>
        <v>6780.8049701128966</v>
      </c>
      <c r="P32" s="47">
        <f>ABS(PPMT(($E$6),16,$E$8,$G$14))</f>
        <v>6403.9879170837712</v>
      </c>
      <c r="Q32" s="48">
        <f>ABS(IPMT(($E$6),16,$E$8,$G$14))</f>
        <v>376.81705302912616</v>
      </c>
      <c r="R32" s="49">
        <f t="shared" si="21"/>
        <v>1506.8455489139769</v>
      </c>
      <c r="S32" s="50">
        <f t="shared" si="14"/>
        <v>6780.8049701128966</v>
      </c>
      <c r="T32" s="47">
        <f>ABS(PPMT(($E$6),15,$E$8,$G$15))</f>
        <v>6223.5062362330127</v>
      </c>
      <c r="U32" s="48">
        <f>ABS(IPMT(($E$6),15,$E$8,$G$15))</f>
        <v>557.29873387988357</v>
      </c>
      <c r="V32" s="49">
        <f t="shared" si="13"/>
        <v>1506.8455489139769</v>
      </c>
      <c r="W32" s="50">
        <f>ABS(PMT(($E$6),$E$8,G$16))</f>
        <v>6780.8049701128966</v>
      </c>
      <c r="X32" s="47">
        <f>ABS(PPMT(($E$6),14,$E$8,$G$16))</f>
        <v>6048.1110167473407</v>
      </c>
      <c r="Y32" s="48">
        <f>ABS(IPMT(($E$6),14,$E$8,$G$16))</f>
        <v>732.69395336555635</v>
      </c>
      <c r="Z32" s="49">
        <f t="shared" si="15"/>
        <v>1506.8455489139769</v>
      </c>
      <c r="AA32" s="46">
        <f t="shared" si="19"/>
        <v>6780.8049701128966</v>
      </c>
      <c r="AB32" s="47">
        <f>ABS(PPMT(($E$6),13,$E$8,$G$17))</f>
        <v>5877.658908403635</v>
      </c>
      <c r="AC32" s="48">
        <f>ABS(IPMT(($E$6),13,$E$8,$G$17))</f>
        <v>903.14606170926163</v>
      </c>
      <c r="AD32" s="49">
        <f t="shared" si="17"/>
        <v>1506.8455489139769</v>
      </c>
      <c r="AE32" s="50">
        <f t="shared" si="22"/>
        <v>6780.8049701128966</v>
      </c>
      <c r="AF32" s="47">
        <f>ABS(PPMT(($E$6),12,$E$8,$G$18))</f>
        <v>5712.0106009753499</v>
      </c>
      <c r="AG32" s="48">
        <f>ABS(IPMT(($E$6),12,$E$8,$G$18))</f>
        <v>1068.7943691375469</v>
      </c>
      <c r="AH32" s="49">
        <f t="shared" si="20"/>
        <v>1506.8455489139769</v>
      </c>
      <c r="AI32" s="50">
        <f t="shared" si="24"/>
        <v>6780.8049701128966</v>
      </c>
      <c r="AJ32" s="47">
        <f>ABS(PPMT(($E$6),11,$E$8,$G$19))</f>
        <v>5551.030710374489</v>
      </c>
      <c r="AK32" s="48">
        <f>ABS(IPMT(($E$6),11,$E$8,$G$19))</f>
        <v>1229.774259738407</v>
      </c>
      <c r="AL32" s="49">
        <f t="shared" si="23"/>
        <v>1506.8455489139769</v>
      </c>
      <c r="AM32" s="63">
        <f t="shared" si="26"/>
        <v>6780.8049701128966</v>
      </c>
      <c r="AN32" s="64">
        <f>ABS(PPMT(($E$6),10,$E$8,$G$20))</f>
        <v>5394.5876680024194</v>
      </c>
      <c r="AO32" s="61">
        <f>ABS(IPMT(($E$6),10,$E$8,$G$20))</f>
        <v>1386.2173021104772</v>
      </c>
      <c r="AP32" s="49">
        <f t="shared" si="25"/>
        <v>1506.8455489139769</v>
      </c>
      <c r="AQ32" s="50">
        <f t="shared" si="28"/>
        <v>6780.8049701128966</v>
      </c>
      <c r="AR32" s="47">
        <f>ABS(PPMT(($E$6),9,$E$8,$G$21))</f>
        <v>5242.5536132190664</v>
      </c>
      <c r="AS32" s="48">
        <f>ABS(IPMT(($E$6),9,$E$8,$G$21))</f>
        <v>1538.2513568938305</v>
      </c>
      <c r="AT32" s="49">
        <f t="shared" si="27"/>
        <v>1506.8455489139769</v>
      </c>
      <c r="AU32" s="50">
        <f t="shared" si="30"/>
        <v>6780.8049701128966</v>
      </c>
      <c r="AV32" s="47">
        <f>ABS(PPMT(($E$6),8,$E$8,$G$22))</f>
        <v>5094.8042888426298</v>
      </c>
      <c r="AW32" s="48">
        <f>ABS(IPMT(($E$6),8,$E$8,$G$22))</f>
        <v>1686.0006812702668</v>
      </c>
      <c r="AX32" s="62">
        <f t="shared" si="29"/>
        <v>1506.8455489139769</v>
      </c>
      <c r="AY32" s="50">
        <f t="shared" si="32"/>
        <v>6780.8049701128966</v>
      </c>
      <c r="AZ32" s="47">
        <f>ABS(PPMT(($E$6),7,$E$8,$G$23))</f>
        <v>4951.2189395943924</v>
      </c>
      <c r="BA32" s="48">
        <f>ABS(IPMT(($E$6),7,$E$8,$G$23))</f>
        <v>1829.586030518504</v>
      </c>
      <c r="BB32" s="49">
        <f t="shared" si="31"/>
        <v>1506.8455489139769</v>
      </c>
    </row>
    <row r="33" spans="1:54" ht="16.899999999999999" customHeight="1" x14ac:dyDescent="0.15">
      <c r="A33" s="175"/>
      <c r="B33" s="253" t="s">
        <v>40</v>
      </c>
      <c r="C33" s="254"/>
      <c r="D33" s="39"/>
      <c r="E33" s="66"/>
      <c r="F33" s="67"/>
      <c r="G33" s="67"/>
      <c r="H33" s="42">
        <f t="shared" si="1"/>
        <v>67808.04970112897</v>
      </c>
      <c r="I33" s="43">
        <f t="shared" si="9"/>
        <v>58137.954526560912</v>
      </c>
      <c r="J33" s="43">
        <f t="shared" si="7"/>
        <v>9670.0951745680522</v>
      </c>
      <c r="K33" s="44">
        <f t="shared" si="8"/>
        <v>67808.04970112897</v>
      </c>
      <c r="L33" s="45">
        <f t="shared" si="10"/>
        <v>275313.60321716504</v>
      </c>
      <c r="M33" s="41">
        <f t="shared" si="2"/>
        <v>15068.455489139771</v>
      </c>
      <c r="N33" s="41">
        <f t="shared" si="3"/>
        <v>52739.594211989199</v>
      </c>
      <c r="O33" s="46">
        <f t="shared" si="12"/>
        <v>6780.8049701128966</v>
      </c>
      <c r="P33" s="47">
        <f>ABS(PPMT(($E$6),17,$E$8,$G$14))</f>
        <v>6589.7035666792008</v>
      </c>
      <c r="Q33" s="48">
        <f>ABS(IPMT(($E$6),17,$E$8,$G$14))</f>
        <v>191.10140343369679</v>
      </c>
      <c r="R33" s="49">
        <f t="shared" si="21"/>
        <v>1506.8455489139769</v>
      </c>
      <c r="S33" s="50">
        <f t="shared" si="14"/>
        <v>6780.8049701128966</v>
      </c>
      <c r="T33" s="47">
        <f>ABS(PPMT(($E$6),16,$E$8,$G$15))</f>
        <v>6403.9879170837712</v>
      </c>
      <c r="U33" s="48">
        <f>ABS(IPMT(($E$6),16,$E$8,$G$15))</f>
        <v>376.81705302912616</v>
      </c>
      <c r="V33" s="49">
        <f t="shared" si="13"/>
        <v>1506.8455489139769</v>
      </c>
      <c r="W33" s="50">
        <f t="shared" si="16"/>
        <v>6780.8049701128966</v>
      </c>
      <c r="X33" s="47">
        <f>ABS(PPMT(($E$6),15,$E$8,$G$16))</f>
        <v>6223.5062362330127</v>
      </c>
      <c r="Y33" s="48">
        <f>ABS(IPMT(($E$6),15,$E$8,$G$16))</f>
        <v>557.29873387988357</v>
      </c>
      <c r="Z33" s="49">
        <f t="shared" si="15"/>
        <v>1506.8455489139769</v>
      </c>
      <c r="AA33" s="46">
        <f t="shared" si="19"/>
        <v>6780.8049701128966</v>
      </c>
      <c r="AB33" s="47">
        <f>ABS(PPMT(($E$6),14,$E$8,$G$17))</f>
        <v>6048.1110167473407</v>
      </c>
      <c r="AC33" s="48">
        <f>ABS(IPMT(($E$6),14,$E$8,$G$17))</f>
        <v>732.69395336555635</v>
      </c>
      <c r="AD33" s="49">
        <f t="shared" si="17"/>
        <v>1506.8455489139769</v>
      </c>
      <c r="AE33" s="50">
        <f t="shared" si="22"/>
        <v>6780.8049701128966</v>
      </c>
      <c r="AF33" s="47">
        <f>ABS(PPMT(($E$6),13,$E$8,$G$18))</f>
        <v>5877.658908403635</v>
      </c>
      <c r="AG33" s="48">
        <f>ABS(IPMT(($E$6),13,$E$8,$G$18))</f>
        <v>903.14606170926163</v>
      </c>
      <c r="AH33" s="49">
        <f t="shared" si="20"/>
        <v>1506.8455489139769</v>
      </c>
      <c r="AI33" s="50">
        <f t="shared" si="24"/>
        <v>6780.8049701128966</v>
      </c>
      <c r="AJ33" s="47">
        <f>ABS(PPMT(($E$6),12,$E$8,$G$19))</f>
        <v>5712.0106009753499</v>
      </c>
      <c r="AK33" s="48">
        <f>ABS(IPMT(($E$6),12,$E$8,$G$19))</f>
        <v>1068.7943691375469</v>
      </c>
      <c r="AL33" s="49">
        <f t="shared" si="23"/>
        <v>1506.8455489139769</v>
      </c>
      <c r="AM33" s="63">
        <f t="shared" si="26"/>
        <v>6780.8049701128966</v>
      </c>
      <c r="AN33" s="64">
        <f>ABS(PPMT(($E$6),11,$E$8,$G$20))</f>
        <v>5551.030710374489</v>
      </c>
      <c r="AO33" s="61">
        <f>ABS(IPMT(($E$6),11,$E$8,$G$20))</f>
        <v>1229.774259738407</v>
      </c>
      <c r="AP33" s="49">
        <f t="shared" si="25"/>
        <v>1506.8455489139769</v>
      </c>
      <c r="AQ33" s="50">
        <f t="shared" si="28"/>
        <v>6780.8049701128966</v>
      </c>
      <c r="AR33" s="47">
        <f>ABS(PPMT(($E$6),10,$E$8,$G$21))</f>
        <v>5394.5876680024194</v>
      </c>
      <c r="AS33" s="48">
        <f>ABS(IPMT(($E$6),10,$E$8,$G$21))</f>
        <v>1386.2173021104772</v>
      </c>
      <c r="AT33" s="49">
        <f t="shared" si="27"/>
        <v>1506.8455489139769</v>
      </c>
      <c r="AU33" s="50">
        <f t="shared" si="30"/>
        <v>6780.8049701128966</v>
      </c>
      <c r="AV33" s="47">
        <f>ABS(PPMT(($E$6),9,$E$8,$G$22))</f>
        <v>5242.5536132190664</v>
      </c>
      <c r="AW33" s="48">
        <f>ABS(IPMT(($E$6),9,$E$8,$G$22))</f>
        <v>1538.2513568938305</v>
      </c>
      <c r="AX33" s="62">
        <f t="shared" si="29"/>
        <v>1506.8455489139769</v>
      </c>
      <c r="AY33" s="50">
        <f t="shared" si="32"/>
        <v>6780.8049701128966</v>
      </c>
      <c r="AZ33" s="47">
        <f>ABS(PPMT(($E$6),8,$E$8,$G$23))</f>
        <v>5094.8042888426298</v>
      </c>
      <c r="BA33" s="48">
        <f>ABS(IPMT(($E$6),8,$E$8,$G$23))</f>
        <v>1686.0006812702668</v>
      </c>
      <c r="BB33" s="49">
        <f t="shared" si="31"/>
        <v>1506.8455489139769</v>
      </c>
    </row>
    <row r="34" spans="1:54" ht="16.899999999999999" customHeight="1" x14ac:dyDescent="0.15">
      <c r="A34" s="175"/>
      <c r="B34" s="253" t="s">
        <v>41</v>
      </c>
      <c r="C34" s="254"/>
      <c r="D34" s="39"/>
      <c r="E34" s="66"/>
      <c r="F34" s="67"/>
      <c r="G34" s="67"/>
      <c r="H34" s="42">
        <f t="shared" si="1"/>
        <v>61027.244731016079</v>
      </c>
      <c r="I34" s="43">
        <f t="shared" si="9"/>
        <v>53043.150237718284</v>
      </c>
      <c r="J34" s="43">
        <f t="shared" si="7"/>
        <v>7984.0944932977854</v>
      </c>
      <c r="K34" s="44">
        <f t="shared" si="8"/>
        <v>61027.244731016079</v>
      </c>
      <c r="L34" s="45">
        <f t="shared" si="10"/>
        <v>222270.45297944677</v>
      </c>
      <c r="M34" s="41">
        <f t="shared" si="2"/>
        <v>15068.455489139771</v>
      </c>
      <c r="N34" s="41">
        <f t="shared" si="3"/>
        <v>45958.789241876308</v>
      </c>
      <c r="O34" s="73"/>
      <c r="P34" s="74"/>
      <c r="Q34" s="48"/>
      <c r="R34" s="49">
        <f t="shared" si="21"/>
        <v>1506.8455489139769</v>
      </c>
      <c r="S34" s="50">
        <f t="shared" si="14"/>
        <v>6780.8049701128966</v>
      </c>
      <c r="T34" s="47">
        <f>ABS(PPMT(($E$6),17,$E$8,$G$15))</f>
        <v>6589.7035666792008</v>
      </c>
      <c r="U34" s="48">
        <f>ABS(IPMT(($E$6),17,$E$8,$G$15))</f>
        <v>191.10140343369679</v>
      </c>
      <c r="V34" s="49">
        <f t="shared" si="13"/>
        <v>1506.8455489139769</v>
      </c>
      <c r="W34" s="50">
        <f t="shared" si="16"/>
        <v>6780.8049701128966</v>
      </c>
      <c r="X34" s="47">
        <f>ABS(PPMT(($E$6),16,$E$8,$G$16))</f>
        <v>6403.9879170837712</v>
      </c>
      <c r="Y34" s="48">
        <f>ABS(IPMT(($E$6),16,$E$8,$G$16))</f>
        <v>376.81705302912616</v>
      </c>
      <c r="Z34" s="49">
        <f t="shared" si="15"/>
        <v>1506.8455489139769</v>
      </c>
      <c r="AA34" s="46">
        <f t="shared" si="19"/>
        <v>6780.8049701128966</v>
      </c>
      <c r="AB34" s="47">
        <f>ABS(PPMT(($E$6),15,$E$8,$G$17))</f>
        <v>6223.5062362330127</v>
      </c>
      <c r="AC34" s="48">
        <f>ABS(IPMT(($E$6),15,$E$8,$G$17))</f>
        <v>557.29873387988357</v>
      </c>
      <c r="AD34" s="49">
        <f t="shared" si="17"/>
        <v>1506.8455489139769</v>
      </c>
      <c r="AE34" s="50">
        <f t="shared" si="22"/>
        <v>6780.8049701128966</v>
      </c>
      <c r="AF34" s="47">
        <f>ABS(PPMT(($E$6),14,$E$8,$G$18))</f>
        <v>6048.1110167473407</v>
      </c>
      <c r="AG34" s="48">
        <f>ABS(IPMT(($E$6),14,$E$8,$G$18))</f>
        <v>732.69395336555635</v>
      </c>
      <c r="AH34" s="49">
        <f t="shared" si="20"/>
        <v>1506.8455489139769</v>
      </c>
      <c r="AI34" s="50">
        <f t="shared" si="24"/>
        <v>6780.8049701128966</v>
      </c>
      <c r="AJ34" s="47">
        <f>ABS(PPMT(($E$6),13,$E$8,$G$19))</f>
        <v>5877.658908403635</v>
      </c>
      <c r="AK34" s="48">
        <f>ABS(IPMT(($E$6),13,$E$8,$G$19))</f>
        <v>903.14606170926163</v>
      </c>
      <c r="AL34" s="49">
        <f t="shared" si="23"/>
        <v>1506.8455489139769</v>
      </c>
      <c r="AM34" s="63">
        <f t="shared" si="26"/>
        <v>6780.8049701128966</v>
      </c>
      <c r="AN34" s="64">
        <f>ABS(PPMT(($E$6),12,$E$8,$G$20))</f>
        <v>5712.0106009753499</v>
      </c>
      <c r="AO34" s="61">
        <f>ABS(IPMT(($E$6),12,$E$8,$G$20))</f>
        <v>1068.7943691375469</v>
      </c>
      <c r="AP34" s="49">
        <f t="shared" si="25"/>
        <v>1506.8455489139769</v>
      </c>
      <c r="AQ34" s="50">
        <f t="shared" si="28"/>
        <v>6780.8049701128966</v>
      </c>
      <c r="AR34" s="47">
        <f>ABS(PPMT(($E$6),11,$E$8,$G$21))</f>
        <v>5551.030710374489</v>
      </c>
      <c r="AS34" s="48">
        <f>ABS(IPMT(($E$6),11,$E$8,$G$21))</f>
        <v>1229.774259738407</v>
      </c>
      <c r="AT34" s="49">
        <f t="shared" si="27"/>
        <v>1506.8455489139769</v>
      </c>
      <c r="AU34" s="50">
        <f t="shared" si="30"/>
        <v>6780.8049701128966</v>
      </c>
      <c r="AV34" s="47">
        <f>ABS(PPMT(($E$6),10,$E$8,$G$22))</f>
        <v>5394.5876680024194</v>
      </c>
      <c r="AW34" s="48">
        <f>ABS(IPMT(($E$6),10,$E$8,$G$22))</f>
        <v>1386.2173021104772</v>
      </c>
      <c r="AX34" s="62">
        <f t="shared" si="29"/>
        <v>1506.8455489139769</v>
      </c>
      <c r="AY34" s="50">
        <f t="shared" si="32"/>
        <v>6780.8049701128966</v>
      </c>
      <c r="AZ34" s="47">
        <f>ABS(PPMT(($E$6),9,$E$8,$G$23))</f>
        <v>5242.5536132190664</v>
      </c>
      <c r="BA34" s="48">
        <f>ABS(IPMT(($E$6),9,$E$8,$G$23))</f>
        <v>1538.2513568938305</v>
      </c>
      <c r="BB34" s="49">
        <f t="shared" si="31"/>
        <v>1506.8455489139769</v>
      </c>
    </row>
    <row r="35" spans="1:54" ht="16.899999999999999" customHeight="1" x14ac:dyDescent="0.15">
      <c r="A35" s="175"/>
      <c r="B35" s="253" t="s">
        <v>42</v>
      </c>
      <c r="C35" s="254"/>
      <c r="D35" s="39"/>
      <c r="E35" s="66"/>
      <c r="F35" s="67"/>
      <c r="G35" s="67"/>
      <c r="H35" s="42">
        <f t="shared" si="1"/>
        <v>54246.43976090318</v>
      </c>
      <c r="I35" s="43">
        <f>P35+T35+X35+AB35+AF35+AJ35+AN35+AR35+AV35+AZ35</f>
        <v>47800.596624499216</v>
      </c>
      <c r="J35" s="43">
        <f t="shared" si="7"/>
        <v>6445.8431364039552</v>
      </c>
      <c r="K35" s="44">
        <f t="shared" si="8"/>
        <v>54246.43976090318</v>
      </c>
      <c r="L35" s="45">
        <f t="shared" si="10"/>
        <v>174469.85635494755</v>
      </c>
      <c r="M35" s="41">
        <f t="shared" si="2"/>
        <v>13561.609940225793</v>
      </c>
      <c r="N35" s="41">
        <f t="shared" si="3"/>
        <v>40684.829820677391</v>
      </c>
      <c r="O35" s="73"/>
      <c r="P35" s="74"/>
      <c r="Q35" s="48"/>
      <c r="R35" s="49"/>
      <c r="S35" s="50"/>
      <c r="T35" s="48"/>
      <c r="U35" s="48"/>
      <c r="V35" s="49">
        <f t="shared" si="13"/>
        <v>1506.8455489139769</v>
      </c>
      <c r="W35" s="50">
        <f t="shared" si="16"/>
        <v>6780.8049701128966</v>
      </c>
      <c r="X35" s="47">
        <f>ABS(PPMT(($E$6),17,$E$8,$G$16))</f>
        <v>6589.7035666792008</v>
      </c>
      <c r="Y35" s="48">
        <f>ABS(IPMT(($E$6),17,$E$8,$G$16))</f>
        <v>191.10140343369679</v>
      </c>
      <c r="Z35" s="49">
        <f t="shared" si="15"/>
        <v>1506.8455489139769</v>
      </c>
      <c r="AA35" s="46">
        <f t="shared" si="19"/>
        <v>6780.8049701128966</v>
      </c>
      <c r="AB35" s="47">
        <f>ABS(PPMT(($E$6),16,$E$8,$G$17))</f>
        <v>6403.9879170837712</v>
      </c>
      <c r="AC35" s="48">
        <f>ABS(IPMT(($E$6),16,$E$8,$G$17))</f>
        <v>376.81705302912616</v>
      </c>
      <c r="AD35" s="49">
        <f t="shared" si="17"/>
        <v>1506.8455489139769</v>
      </c>
      <c r="AE35" s="50">
        <f t="shared" si="22"/>
        <v>6780.8049701128966</v>
      </c>
      <c r="AF35" s="47">
        <f>ABS(PPMT(($E$6),15,$E$8,$G$18))</f>
        <v>6223.5062362330127</v>
      </c>
      <c r="AG35" s="48">
        <f>ABS(IPMT(($E$6),15,$E$8,$G$18))</f>
        <v>557.29873387988357</v>
      </c>
      <c r="AH35" s="49">
        <f t="shared" si="20"/>
        <v>1506.8455489139769</v>
      </c>
      <c r="AI35" s="50">
        <f t="shared" si="24"/>
        <v>6780.8049701128966</v>
      </c>
      <c r="AJ35" s="47">
        <f>ABS(PPMT(($E$6),14,$E$8,$G$19))</f>
        <v>6048.1110167473407</v>
      </c>
      <c r="AK35" s="48">
        <f>ABS(IPMT(($E$6),14,$E$8,$G$19))</f>
        <v>732.69395336555635</v>
      </c>
      <c r="AL35" s="49">
        <f t="shared" si="23"/>
        <v>1506.8455489139769</v>
      </c>
      <c r="AM35" s="63">
        <f t="shared" si="26"/>
        <v>6780.8049701128966</v>
      </c>
      <c r="AN35" s="64">
        <f>ABS(PPMT(($E$6),13,$E$8,$G$20))</f>
        <v>5877.658908403635</v>
      </c>
      <c r="AO35" s="61">
        <f>ABS(IPMT(($E$6),13,$E$8,$G$20))</f>
        <v>903.14606170926163</v>
      </c>
      <c r="AP35" s="49">
        <f t="shared" si="25"/>
        <v>1506.8455489139769</v>
      </c>
      <c r="AQ35" s="50">
        <f t="shared" si="28"/>
        <v>6780.8049701128966</v>
      </c>
      <c r="AR35" s="47">
        <f>ABS(PPMT(($E$6),12,$E$8,$G$21))</f>
        <v>5712.0106009753499</v>
      </c>
      <c r="AS35" s="48">
        <f>ABS(IPMT(($E$6),12,$E$8,$G$21))</f>
        <v>1068.7943691375469</v>
      </c>
      <c r="AT35" s="49">
        <f t="shared" si="27"/>
        <v>1506.8455489139769</v>
      </c>
      <c r="AU35" s="50">
        <f t="shared" si="30"/>
        <v>6780.8049701128966</v>
      </c>
      <c r="AV35" s="47">
        <f>ABS(PPMT(($E$6),11,$E$8,$G$22))</f>
        <v>5551.030710374489</v>
      </c>
      <c r="AW35" s="48">
        <f>ABS(IPMT(($E$6),11,$E$8,$G$22))</f>
        <v>1229.774259738407</v>
      </c>
      <c r="AX35" s="62">
        <f t="shared" si="29"/>
        <v>1506.8455489139769</v>
      </c>
      <c r="AY35" s="50">
        <f t="shared" si="32"/>
        <v>6780.8049701128966</v>
      </c>
      <c r="AZ35" s="47">
        <f>ABS(PPMT(($E$6),10,$E$8,$G$23))</f>
        <v>5394.5876680024194</v>
      </c>
      <c r="BA35" s="48">
        <f>ABS(IPMT(($E$6),10,$E$8,$G$23))</f>
        <v>1386.2173021104772</v>
      </c>
      <c r="BB35" s="49">
        <f t="shared" si="31"/>
        <v>1506.8455489139769</v>
      </c>
    </row>
    <row r="36" spans="1:54" ht="16.899999999999999" customHeight="1" x14ac:dyDescent="0.15">
      <c r="A36" s="175"/>
      <c r="B36" s="253" t="s">
        <v>43</v>
      </c>
      <c r="C36" s="254"/>
      <c r="D36" s="39"/>
      <c r="E36" s="66"/>
      <c r="F36" s="67"/>
      <c r="G36" s="67"/>
      <c r="H36" s="42">
        <f t="shared" si="1"/>
        <v>47465.634790790282</v>
      </c>
      <c r="I36" s="43">
        <f t="shared" si="9"/>
        <v>42406.008956496793</v>
      </c>
      <c r="J36" s="43">
        <f t="shared" si="7"/>
        <v>5059.625834293478</v>
      </c>
      <c r="K36" s="44">
        <f t="shared" si="8"/>
        <v>47465.634790790282</v>
      </c>
      <c r="L36" s="45">
        <f t="shared" si="10"/>
        <v>132063.84739845074</v>
      </c>
      <c r="M36" s="41">
        <f t="shared" si="2"/>
        <v>12054.764391311815</v>
      </c>
      <c r="N36" s="41">
        <f t="shared" si="3"/>
        <v>35410.870399478466</v>
      </c>
      <c r="O36" s="73"/>
      <c r="P36" s="74"/>
      <c r="Q36" s="48"/>
      <c r="R36" s="49"/>
      <c r="S36" s="50"/>
      <c r="T36" s="48"/>
      <c r="U36" s="48"/>
      <c r="V36" s="49"/>
      <c r="W36" s="50"/>
      <c r="X36" s="48"/>
      <c r="Y36" s="48"/>
      <c r="Z36" s="49">
        <f t="shared" si="15"/>
        <v>1506.8455489139769</v>
      </c>
      <c r="AA36" s="46">
        <f t="shared" si="19"/>
        <v>6780.8049701128966</v>
      </c>
      <c r="AB36" s="47">
        <f>ABS(PPMT(($E$6),17,$E$8,$G$17))</f>
        <v>6589.7035666792008</v>
      </c>
      <c r="AC36" s="48">
        <f>ABS(IPMT(($E$6),17,$E$8,$G$17))</f>
        <v>191.10140343369679</v>
      </c>
      <c r="AD36" s="49">
        <f t="shared" si="17"/>
        <v>1506.8455489139769</v>
      </c>
      <c r="AE36" s="50">
        <f t="shared" si="22"/>
        <v>6780.8049701128966</v>
      </c>
      <c r="AF36" s="47">
        <f>ABS(PPMT(($E$6),16,$E$8,$G$18))</f>
        <v>6403.9879170837712</v>
      </c>
      <c r="AG36" s="48">
        <f>ABS(IPMT(($E$6),16,$E$8,$G$18))</f>
        <v>376.81705302912616</v>
      </c>
      <c r="AH36" s="49">
        <f t="shared" si="20"/>
        <v>1506.8455489139769</v>
      </c>
      <c r="AI36" s="50">
        <f t="shared" si="24"/>
        <v>6780.8049701128966</v>
      </c>
      <c r="AJ36" s="47">
        <f>ABS(PPMT(($E$6),15,$E$8,$G$19))</f>
        <v>6223.5062362330127</v>
      </c>
      <c r="AK36" s="48">
        <f>ABS(IPMT(($E$6),15,$E$8,$G$19))</f>
        <v>557.29873387988357</v>
      </c>
      <c r="AL36" s="49">
        <f t="shared" si="23"/>
        <v>1506.8455489139769</v>
      </c>
      <c r="AM36" s="63">
        <f t="shared" si="26"/>
        <v>6780.8049701128966</v>
      </c>
      <c r="AN36" s="64">
        <f>ABS(PPMT(($E$6),14,$E$8,$G$20))</f>
        <v>6048.1110167473407</v>
      </c>
      <c r="AO36" s="61">
        <f>ABS(IPMT(($E$6),14,$E$8,$G$20))</f>
        <v>732.69395336555635</v>
      </c>
      <c r="AP36" s="49">
        <f t="shared" si="25"/>
        <v>1506.8455489139769</v>
      </c>
      <c r="AQ36" s="50">
        <f t="shared" si="28"/>
        <v>6780.8049701128966</v>
      </c>
      <c r="AR36" s="47">
        <f>ABS(PPMT(($E$6),13,$E$8,$G$21))</f>
        <v>5877.658908403635</v>
      </c>
      <c r="AS36" s="48">
        <f>ABS(IPMT(($E$6),13,$E$8,$G$21))</f>
        <v>903.14606170926163</v>
      </c>
      <c r="AT36" s="49">
        <f t="shared" si="27"/>
        <v>1506.8455489139769</v>
      </c>
      <c r="AU36" s="50">
        <f t="shared" si="30"/>
        <v>6780.8049701128966</v>
      </c>
      <c r="AV36" s="47">
        <f>ABS(PPMT(($E$6),12,$E$8,$G$22))</f>
        <v>5712.0106009753499</v>
      </c>
      <c r="AW36" s="48">
        <f>ABS(IPMT(($E$6),12,$E$8,$G$22))</f>
        <v>1068.7943691375469</v>
      </c>
      <c r="AX36" s="62">
        <f t="shared" si="29"/>
        <v>1506.8455489139769</v>
      </c>
      <c r="AY36" s="50">
        <f t="shared" si="32"/>
        <v>6780.8049701128966</v>
      </c>
      <c r="AZ36" s="47">
        <f>ABS(PPMT(($E$6),11,$E$8,$G$23))</f>
        <v>5551.030710374489</v>
      </c>
      <c r="BA36" s="48">
        <f>ABS(IPMT(($E$6),11,$E$8,$G$23))</f>
        <v>1229.774259738407</v>
      </c>
      <c r="BB36" s="49">
        <f t="shared" si="31"/>
        <v>1506.8455489139769</v>
      </c>
    </row>
    <row r="37" spans="1:54" ht="16.899999999999999" customHeight="1" x14ac:dyDescent="0.15">
      <c r="A37" s="175"/>
      <c r="B37" s="253" t="s">
        <v>44</v>
      </c>
      <c r="C37" s="254"/>
      <c r="D37" s="39"/>
      <c r="E37" s="66"/>
      <c r="F37" s="67"/>
      <c r="G37" s="67"/>
      <c r="H37" s="42">
        <f t="shared" si="1"/>
        <v>40684.829820677383</v>
      </c>
      <c r="I37" s="43">
        <f t="shared" si="9"/>
        <v>36854.978246122308</v>
      </c>
      <c r="J37" s="43">
        <f t="shared" si="7"/>
        <v>3829.8515745550712</v>
      </c>
      <c r="K37" s="44">
        <f t="shared" si="8"/>
        <v>40684.829820677383</v>
      </c>
      <c r="L37" s="45">
        <f t="shared" si="10"/>
        <v>95208.869152328436</v>
      </c>
      <c r="M37" s="41">
        <f t="shared" si="2"/>
        <v>10547.918842397838</v>
      </c>
      <c r="N37" s="41">
        <f t="shared" si="3"/>
        <v>30136.910978279546</v>
      </c>
      <c r="O37" s="73"/>
      <c r="P37" s="74"/>
      <c r="Q37" s="48"/>
      <c r="R37" s="49"/>
      <c r="S37" s="50"/>
      <c r="T37" s="48"/>
      <c r="U37" s="48"/>
      <c r="V37" s="49"/>
      <c r="W37" s="50"/>
      <c r="X37" s="48"/>
      <c r="Y37" s="48"/>
      <c r="Z37" s="49"/>
      <c r="AA37" s="46"/>
      <c r="AB37" s="48"/>
      <c r="AC37" s="48"/>
      <c r="AD37" s="49">
        <f t="shared" si="17"/>
        <v>1506.8455489139769</v>
      </c>
      <c r="AE37" s="50">
        <f t="shared" si="22"/>
        <v>6780.8049701128966</v>
      </c>
      <c r="AF37" s="47">
        <f>ABS(PPMT(($E$6),17,$E$8,$G$18))</f>
        <v>6589.7035666792008</v>
      </c>
      <c r="AG37" s="48">
        <f>ABS(IPMT(($E$6),17,$E$8,$G$18))</f>
        <v>191.10140343369679</v>
      </c>
      <c r="AH37" s="49">
        <f t="shared" si="20"/>
        <v>1506.8455489139769</v>
      </c>
      <c r="AI37" s="50">
        <f t="shared" si="24"/>
        <v>6780.8049701128966</v>
      </c>
      <c r="AJ37" s="47">
        <f>ABS(PPMT(($E$6),16,$E$8,$G$19))</f>
        <v>6403.9879170837712</v>
      </c>
      <c r="AK37" s="48">
        <f>ABS(IPMT(($E$6),16,$E$8,$G$19))</f>
        <v>376.81705302912616</v>
      </c>
      <c r="AL37" s="49">
        <f t="shared" si="23"/>
        <v>1506.8455489139769</v>
      </c>
      <c r="AM37" s="63">
        <f t="shared" si="26"/>
        <v>6780.8049701128966</v>
      </c>
      <c r="AN37" s="64">
        <f>ABS(PPMT(($E$6),15,$E$8,$G$20))</f>
        <v>6223.5062362330127</v>
      </c>
      <c r="AO37" s="61">
        <f>ABS(IPMT(($E$6),15,$E$8,$G$20))</f>
        <v>557.29873387988357</v>
      </c>
      <c r="AP37" s="49">
        <f t="shared" si="25"/>
        <v>1506.8455489139769</v>
      </c>
      <c r="AQ37" s="50">
        <f t="shared" si="28"/>
        <v>6780.8049701128966</v>
      </c>
      <c r="AR37" s="47">
        <f>ABS(PPMT(($E$6),14,$E$8,$G$21))</f>
        <v>6048.1110167473407</v>
      </c>
      <c r="AS37" s="48">
        <f>ABS(IPMT(($E$6),14,$E$8,$G$21))</f>
        <v>732.69395336555635</v>
      </c>
      <c r="AT37" s="49">
        <f t="shared" si="27"/>
        <v>1506.8455489139769</v>
      </c>
      <c r="AU37" s="50">
        <f t="shared" si="30"/>
        <v>6780.8049701128966</v>
      </c>
      <c r="AV37" s="47">
        <f>ABS(PPMT(($E$6),13,$E$8,$G$22))</f>
        <v>5877.658908403635</v>
      </c>
      <c r="AW37" s="48">
        <f>ABS(IPMT(($E$6),13,$E$8,$G$22))</f>
        <v>903.14606170926163</v>
      </c>
      <c r="AX37" s="62">
        <f t="shared" si="29"/>
        <v>1506.8455489139769</v>
      </c>
      <c r="AY37" s="50">
        <f t="shared" si="32"/>
        <v>6780.8049701128966</v>
      </c>
      <c r="AZ37" s="47">
        <f>ABS(PPMT(($E$6),12,$E$8,$G$23))</f>
        <v>5712.0106009753499</v>
      </c>
      <c r="BA37" s="48">
        <f>ABS(IPMT(($E$6),12,$E$8,$G$23))</f>
        <v>1068.7943691375469</v>
      </c>
      <c r="BB37" s="49">
        <f t="shared" si="31"/>
        <v>1506.8455489139769</v>
      </c>
    </row>
    <row r="38" spans="1:54" ht="16.899999999999999" customHeight="1" x14ac:dyDescent="0.15">
      <c r="A38" s="175"/>
      <c r="B38" s="253" t="s">
        <v>45</v>
      </c>
      <c r="C38" s="254"/>
      <c r="D38" s="39"/>
      <c r="E38" s="66"/>
      <c r="F38" s="67"/>
      <c r="G38" s="67"/>
      <c r="H38" s="42">
        <f t="shared" si="1"/>
        <v>33904.024850564485</v>
      </c>
      <c r="I38" s="43">
        <f t="shared" si="9"/>
        <v>31142.96764514696</v>
      </c>
      <c r="J38" s="43">
        <f t="shared" si="7"/>
        <v>2761.0572054175245</v>
      </c>
      <c r="K38" s="44">
        <f t="shared" si="8"/>
        <v>33904.024850564485</v>
      </c>
      <c r="L38" s="45">
        <f t="shared" si="10"/>
        <v>64065.901507181479</v>
      </c>
      <c r="M38" s="41">
        <f t="shared" si="2"/>
        <v>9041.0732934838616</v>
      </c>
      <c r="N38" s="41">
        <f t="shared" si="3"/>
        <v>24862.951557080625</v>
      </c>
      <c r="O38" s="73"/>
      <c r="P38" s="74"/>
      <c r="Q38" s="48"/>
      <c r="R38" s="49"/>
      <c r="S38" s="50"/>
      <c r="T38" s="48"/>
      <c r="U38" s="48"/>
      <c r="V38" s="49"/>
      <c r="W38" s="50"/>
      <c r="X38" s="48"/>
      <c r="Y38" s="48"/>
      <c r="Z38" s="49"/>
      <c r="AA38" s="46"/>
      <c r="AB38" s="48"/>
      <c r="AC38" s="48"/>
      <c r="AD38" s="49"/>
      <c r="AE38" s="50"/>
      <c r="AF38" s="48"/>
      <c r="AG38" s="48"/>
      <c r="AH38" s="49">
        <f t="shared" si="20"/>
        <v>1506.8455489139769</v>
      </c>
      <c r="AI38" s="50">
        <f t="shared" si="24"/>
        <v>6780.8049701128966</v>
      </c>
      <c r="AJ38" s="47">
        <f>ABS(PPMT(($E$6),17,$E$8,$G$19))</f>
        <v>6589.7035666792008</v>
      </c>
      <c r="AK38" s="48">
        <f>ABS(IPMT(($E$6),17,$E$8,$G$19))</f>
        <v>191.10140343369679</v>
      </c>
      <c r="AL38" s="49">
        <f t="shared" si="23"/>
        <v>1506.8455489139769</v>
      </c>
      <c r="AM38" s="63">
        <f t="shared" si="26"/>
        <v>6780.8049701128966</v>
      </c>
      <c r="AN38" s="64">
        <f>ABS(PPMT(($E$6),16,$E$8,$G$20))</f>
        <v>6403.9879170837712</v>
      </c>
      <c r="AO38" s="61">
        <f>ABS(IPMT(($E$6),16,$E$8,$G$20))</f>
        <v>376.81705302912616</v>
      </c>
      <c r="AP38" s="49">
        <f t="shared" si="25"/>
        <v>1506.8455489139769</v>
      </c>
      <c r="AQ38" s="50">
        <f t="shared" si="28"/>
        <v>6780.8049701128966</v>
      </c>
      <c r="AR38" s="47">
        <f>ABS(PPMT(($E$6),15,$E$8,$G$21))</f>
        <v>6223.5062362330127</v>
      </c>
      <c r="AS38" s="48">
        <f>ABS(IPMT(($E$6),15,$E$8,$G$21))</f>
        <v>557.29873387988357</v>
      </c>
      <c r="AT38" s="49">
        <f t="shared" si="27"/>
        <v>1506.8455489139769</v>
      </c>
      <c r="AU38" s="50">
        <f t="shared" si="30"/>
        <v>6780.8049701128966</v>
      </c>
      <c r="AV38" s="47">
        <f>ABS(PPMT(($E$6),14,$E$8,$G$22))</f>
        <v>6048.1110167473407</v>
      </c>
      <c r="AW38" s="48">
        <f>ABS(IPMT(($E$6),14,$E$8,$G$22))</f>
        <v>732.69395336555635</v>
      </c>
      <c r="AX38" s="62">
        <f t="shared" si="29"/>
        <v>1506.8455489139769</v>
      </c>
      <c r="AY38" s="50">
        <f t="shared" si="32"/>
        <v>6780.8049701128966</v>
      </c>
      <c r="AZ38" s="47">
        <f>ABS(PPMT(($E$6),13,$E$8,$G$23))</f>
        <v>5877.658908403635</v>
      </c>
      <c r="BA38" s="48">
        <f>ABS(IPMT(($E$6),13,$E$8,$G$23))</f>
        <v>903.14606170926163</v>
      </c>
      <c r="BB38" s="49">
        <f t="shared" si="31"/>
        <v>1506.8455489139769</v>
      </c>
    </row>
    <row r="39" spans="1:54" ht="16.899999999999999" customHeight="1" x14ac:dyDescent="0.15">
      <c r="A39" s="175"/>
      <c r="B39" s="253" t="s">
        <v>46</v>
      </c>
      <c r="C39" s="254"/>
      <c r="D39" s="39"/>
      <c r="E39" s="66"/>
      <c r="F39" s="67"/>
      <c r="G39" s="67"/>
      <c r="H39" s="42">
        <f t="shared" si="1"/>
        <v>27123.219880451587</v>
      </c>
      <c r="I39" s="43">
        <f t="shared" si="9"/>
        <v>25265.308736743325</v>
      </c>
      <c r="J39" s="43">
        <f t="shared" si="7"/>
        <v>1857.9111437082629</v>
      </c>
      <c r="K39" s="44">
        <f t="shared" si="8"/>
        <v>27123.219880451587</v>
      </c>
      <c r="L39" s="45">
        <f t="shared" ref="L39:L41" si="33">L38+G39-P39-T39-X39-AB39-AF39-AJ39-AN39-AR39-AV39-AZ39</f>
        <v>38800.592770438154</v>
      </c>
      <c r="M39" s="41">
        <f t="shared" si="2"/>
        <v>7534.2277445698846</v>
      </c>
      <c r="N39" s="41">
        <f t="shared" si="3"/>
        <v>19588.992135881701</v>
      </c>
      <c r="O39" s="73"/>
      <c r="P39" s="74"/>
      <c r="Q39" s="48"/>
      <c r="R39" s="49"/>
      <c r="S39" s="50"/>
      <c r="T39" s="48"/>
      <c r="U39" s="48"/>
      <c r="V39" s="49"/>
      <c r="W39" s="50"/>
      <c r="X39" s="48"/>
      <c r="Y39" s="48"/>
      <c r="Z39" s="49"/>
      <c r="AA39" s="46"/>
      <c r="AB39" s="48"/>
      <c r="AC39" s="48"/>
      <c r="AD39" s="49"/>
      <c r="AE39" s="50"/>
      <c r="AF39" s="48"/>
      <c r="AG39" s="48"/>
      <c r="AH39" s="49"/>
      <c r="AI39" s="50"/>
      <c r="AJ39" s="48"/>
      <c r="AK39" s="48"/>
      <c r="AL39" s="49">
        <f t="shared" si="23"/>
        <v>1506.8455489139769</v>
      </c>
      <c r="AM39" s="63">
        <f t="shared" si="26"/>
        <v>6780.8049701128966</v>
      </c>
      <c r="AN39" s="64">
        <f>ABS(PPMT(($E$6),17,$E$8,$G$20))</f>
        <v>6589.7035666792008</v>
      </c>
      <c r="AO39" s="61">
        <f>ABS(IPMT(($E$6),17,$E$8,$G$20))</f>
        <v>191.10140343369679</v>
      </c>
      <c r="AP39" s="49">
        <f t="shared" si="25"/>
        <v>1506.8455489139769</v>
      </c>
      <c r="AQ39" s="50">
        <f t="shared" si="28"/>
        <v>6780.8049701128966</v>
      </c>
      <c r="AR39" s="47">
        <f>ABS(PPMT(($E$6),16,$E$8,$G$21))</f>
        <v>6403.9879170837712</v>
      </c>
      <c r="AS39" s="48">
        <f>ABS(IPMT(($E$6),16,$E$8,$G$21))</f>
        <v>376.81705302912616</v>
      </c>
      <c r="AT39" s="49">
        <f t="shared" si="27"/>
        <v>1506.8455489139769</v>
      </c>
      <c r="AU39" s="50">
        <f t="shared" si="30"/>
        <v>6780.8049701128966</v>
      </c>
      <c r="AV39" s="47">
        <f>ABS(PPMT(($E$6),15,$E$8,$G$22))</f>
        <v>6223.5062362330127</v>
      </c>
      <c r="AW39" s="48">
        <f>ABS(IPMT(($E$6),15,$E$8,$G$22))</f>
        <v>557.29873387988357</v>
      </c>
      <c r="AX39" s="62">
        <f t="shared" si="29"/>
        <v>1506.8455489139769</v>
      </c>
      <c r="AY39" s="50">
        <f t="shared" si="32"/>
        <v>6780.8049701128966</v>
      </c>
      <c r="AZ39" s="47">
        <f>ABS(PPMT(($E$6),14,$E$8,$G$23))</f>
        <v>6048.1110167473407</v>
      </c>
      <c r="BA39" s="48">
        <f>ABS(IPMT(($E$6),14,$E$8,$G$23))</f>
        <v>732.69395336555635</v>
      </c>
      <c r="BB39" s="49">
        <f t="shared" si="31"/>
        <v>1506.8455489139769</v>
      </c>
    </row>
    <row r="40" spans="1:54" ht="16.899999999999999" customHeight="1" x14ac:dyDescent="0.15">
      <c r="A40" s="175"/>
      <c r="B40" s="253" t="s">
        <v>47</v>
      </c>
      <c r="C40" s="254"/>
      <c r="D40" s="39"/>
      <c r="E40" s="66"/>
      <c r="F40" s="67"/>
      <c r="G40" s="67"/>
      <c r="H40" s="41">
        <f t="shared" si="1"/>
        <v>20342.414910338688</v>
      </c>
      <c r="I40" s="81">
        <f t="shared" si="9"/>
        <v>19217.197719995984</v>
      </c>
      <c r="J40" s="82">
        <f t="shared" si="7"/>
        <v>1125.2171903427065</v>
      </c>
      <c r="K40" s="44">
        <f t="shared" si="8"/>
        <v>20342.414910338688</v>
      </c>
      <c r="L40" s="45">
        <f t="shared" si="33"/>
        <v>19583.39505044217</v>
      </c>
      <c r="M40" s="41">
        <f t="shared" si="2"/>
        <v>6027.3821956559077</v>
      </c>
      <c r="N40" s="41">
        <f t="shared" si="3"/>
        <v>14315.03271468278</v>
      </c>
      <c r="O40" s="73"/>
      <c r="P40" s="74"/>
      <c r="Q40" s="48"/>
      <c r="R40" s="49"/>
      <c r="S40" s="50"/>
      <c r="T40" s="48"/>
      <c r="U40" s="48"/>
      <c r="V40" s="49"/>
      <c r="W40" s="50"/>
      <c r="X40" s="48"/>
      <c r="Y40" s="48"/>
      <c r="Z40" s="49"/>
      <c r="AA40" s="46"/>
      <c r="AB40" s="48"/>
      <c r="AC40" s="48"/>
      <c r="AD40" s="49"/>
      <c r="AE40" s="50"/>
      <c r="AF40" s="48"/>
      <c r="AG40" s="48"/>
      <c r="AH40" s="49"/>
      <c r="AI40" s="50"/>
      <c r="AJ40" s="48"/>
      <c r="AK40" s="48"/>
      <c r="AL40" s="49"/>
      <c r="AM40" s="50"/>
      <c r="AN40" s="48"/>
      <c r="AO40" s="48"/>
      <c r="AP40" s="49">
        <f t="shared" si="25"/>
        <v>1506.8455489139769</v>
      </c>
      <c r="AQ40" s="50">
        <f t="shared" si="28"/>
        <v>6780.8049701128966</v>
      </c>
      <c r="AR40" s="47">
        <f>ABS(PPMT(($E$6),17,$E$8,$G$21))</f>
        <v>6589.7035666792008</v>
      </c>
      <c r="AS40" s="48">
        <f>ABS(IPMT(($E$6),17,$E$8,$G$21))</f>
        <v>191.10140343369679</v>
      </c>
      <c r="AT40" s="49">
        <f t="shared" si="27"/>
        <v>1506.8455489139769</v>
      </c>
      <c r="AU40" s="50">
        <f t="shared" si="30"/>
        <v>6780.8049701128966</v>
      </c>
      <c r="AV40" s="47">
        <f>ABS(PPMT(($E$6),16,$E$8,$G$22))</f>
        <v>6403.9879170837712</v>
      </c>
      <c r="AW40" s="48">
        <f>ABS(IPMT(($E$6),16,$E$8,$G$22))</f>
        <v>376.81705302912616</v>
      </c>
      <c r="AX40" s="62">
        <f t="shared" si="29"/>
        <v>1506.8455489139769</v>
      </c>
      <c r="AY40" s="50">
        <f t="shared" si="32"/>
        <v>6780.8049701128966</v>
      </c>
      <c r="AZ40" s="47">
        <f>ABS(PPMT(($E$6),15,$E$8,$G$23))</f>
        <v>6223.5062362330127</v>
      </c>
      <c r="BA40" s="48">
        <f>ABS(IPMT(($E$6),15,$E$8,$G$23))</f>
        <v>557.29873387988357</v>
      </c>
      <c r="BB40" s="49">
        <f t="shared" si="31"/>
        <v>1506.8455489139769</v>
      </c>
    </row>
    <row r="41" spans="1:54" ht="16.899999999999999" customHeight="1" x14ac:dyDescent="0.15">
      <c r="A41" s="175"/>
      <c r="B41" s="253" t="s">
        <v>48</v>
      </c>
      <c r="C41" s="254"/>
      <c r="D41" s="39"/>
      <c r="E41" s="66"/>
      <c r="F41" s="67"/>
      <c r="G41" s="67"/>
      <c r="H41" s="41">
        <f t="shared" si="1"/>
        <v>13561.609940225793</v>
      </c>
      <c r="I41" s="81">
        <f t="shared" ref="I41:I44" si="34">P41+T41+X41+AB41+AF41+AJ41+AN41+AR41+AV41+AZ41</f>
        <v>12993.691483762972</v>
      </c>
      <c r="J41" s="82">
        <f t="shared" si="7"/>
        <v>567.91845646282297</v>
      </c>
      <c r="K41" s="44">
        <f t="shared" si="8"/>
        <v>13561.609940225793</v>
      </c>
      <c r="L41" s="45">
        <f t="shared" si="33"/>
        <v>6589.703566679199</v>
      </c>
      <c r="M41" s="41">
        <f t="shared" si="2"/>
        <v>4520.5366467419308</v>
      </c>
      <c r="N41" s="41">
        <f t="shared" si="3"/>
        <v>9041.0732934838634</v>
      </c>
      <c r="O41" s="73"/>
      <c r="P41" s="74"/>
      <c r="Q41" s="83"/>
      <c r="R41" s="84"/>
      <c r="S41" s="85"/>
      <c r="T41" s="83"/>
      <c r="U41" s="83"/>
      <c r="V41" s="84"/>
      <c r="W41" s="85"/>
      <c r="X41" s="83"/>
      <c r="Y41" s="83"/>
      <c r="Z41" s="84"/>
      <c r="AA41" s="73"/>
      <c r="AB41" s="83"/>
      <c r="AC41" s="83"/>
      <c r="AD41" s="84"/>
      <c r="AE41" s="85"/>
      <c r="AF41" s="83"/>
      <c r="AG41" s="83"/>
      <c r="AH41" s="84"/>
      <c r="AI41" s="85"/>
      <c r="AJ41" s="83"/>
      <c r="AK41" s="83"/>
      <c r="AL41" s="84"/>
      <c r="AM41" s="85"/>
      <c r="AN41" s="83"/>
      <c r="AO41" s="83"/>
      <c r="AP41" s="84"/>
      <c r="AQ41" s="85"/>
      <c r="AR41" s="83"/>
      <c r="AS41" s="83"/>
      <c r="AT41" s="49">
        <f t="shared" si="27"/>
        <v>1506.8455489139769</v>
      </c>
      <c r="AU41" s="50">
        <f t="shared" si="30"/>
        <v>6780.8049701128966</v>
      </c>
      <c r="AV41" s="47">
        <f>ABS(PPMT(($E$6),17,$E$8,$G$22))</f>
        <v>6589.7035666792008</v>
      </c>
      <c r="AW41" s="48">
        <f>ABS(IPMT(($E$6),17,$E$8,$G$22))</f>
        <v>191.10140343369679</v>
      </c>
      <c r="AX41" s="62">
        <f t="shared" si="29"/>
        <v>1506.8455489139769</v>
      </c>
      <c r="AY41" s="50">
        <f t="shared" si="32"/>
        <v>6780.8049701128966</v>
      </c>
      <c r="AZ41" s="47">
        <f>ABS(PPMT(($E$6),16,$E$8,$G$23))</f>
        <v>6403.9879170837712</v>
      </c>
      <c r="BA41" s="48">
        <f>ABS(IPMT(($E$6),16,$E$8,$G$23))</f>
        <v>376.81705302912616</v>
      </c>
      <c r="BB41" s="49">
        <f t="shared" si="31"/>
        <v>1506.8455489139769</v>
      </c>
    </row>
    <row r="42" spans="1:54" ht="16.899999999999999" customHeight="1" x14ac:dyDescent="0.15">
      <c r="A42" s="175"/>
      <c r="B42" s="253" t="s">
        <v>62</v>
      </c>
      <c r="C42" s="254"/>
      <c r="D42" s="39"/>
      <c r="E42" s="66"/>
      <c r="F42" s="67"/>
      <c r="G42" s="67"/>
      <c r="H42" s="41">
        <f>O42+S42+W42+AA42+AE42+AI42+AM42+AQ42+AU42+AY42</f>
        <v>6780.8049701128966</v>
      </c>
      <c r="I42" s="81">
        <f t="shared" si="34"/>
        <v>6589.7035666792008</v>
      </c>
      <c r="J42" s="82">
        <f t="shared" si="7"/>
        <v>191.10140343369679</v>
      </c>
      <c r="K42" s="44">
        <f t="shared" si="8"/>
        <v>6780.8049701128966</v>
      </c>
      <c r="L42" s="45">
        <f>L41+G42-P42-T42-X42-AB42-AF42-AJ42-AN42-AR42-AV42-AZ42</f>
        <v>0</v>
      </c>
      <c r="M42" s="41">
        <f>R42+V42+Z42+AD42+AH42+AL42+AP42+AT42+AX42+BB42</f>
        <v>3013.6910978279539</v>
      </c>
      <c r="N42" s="41">
        <f t="shared" si="3"/>
        <v>3767.1138722849428</v>
      </c>
      <c r="O42" s="73"/>
      <c r="P42" s="74"/>
      <c r="Q42" s="83"/>
      <c r="R42" s="84"/>
      <c r="S42" s="85"/>
      <c r="T42" s="83"/>
      <c r="U42" s="83"/>
      <c r="V42" s="84"/>
      <c r="W42" s="85"/>
      <c r="X42" s="83"/>
      <c r="Y42" s="83"/>
      <c r="Z42" s="84"/>
      <c r="AA42" s="73"/>
      <c r="AB42" s="83"/>
      <c r="AC42" s="83"/>
      <c r="AD42" s="84"/>
      <c r="AE42" s="85"/>
      <c r="AF42" s="83"/>
      <c r="AG42" s="83"/>
      <c r="AH42" s="84"/>
      <c r="AI42" s="85"/>
      <c r="AJ42" s="83"/>
      <c r="AK42" s="83"/>
      <c r="AL42" s="84"/>
      <c r="AM42" s="85"/>
      <c r="AN42" s="83"/>
      <c r="AO42" s="83"/>
      <c r="AP42" s="84"/>
      <c r="AQ42" s="85"/>
      <c r="AR42" s="83"/>
      <c r="AS42" s="83"/>
      <c r="AT42" s="84"/>
      <c r="AU42" s="85"/>
      <c r="AV42" s="83"/>
      <c r="AW42" s="83"/>
      <c r="AX42" s="49">
        <f t="shared" si="29"/>
        <v>1506.8455489139769</v>
      </c>
      <c r="AY42" s="50">
        <f t="shared" si="32"/>
        <v>6780.8049701128966</v>
      </c>
      <c r="AZ42" s="47">
        <f>ABS(PPMT(($E$6),17,$E$8,$G$23))</f>
        <v>6589.7035666792008</v>
      </c>
      <c r="BA42" s="48">
        <f>ABS(IPMT(($E$6),17,$E$8,$G$23))</f>
        <v>191.10140343369679</v>
      </c>
      <c r="BB42" s="49">
        <f t="shared" si="31"/>
        <v>1506.8455489139769</v>
      </c>
    </row>
    <row r="43" spans="1:54" ht="16.899999999999999" customHeight="1" x14ac:dyDescent="0.15">
      <c r="A43" s="175"/>
      <c r="B43" s="253" t="s">
        <v>63</v>
      </c>
      <c r="C43" s="254"/>
      <c r="D43" s="39"/>
      <c r="E43" s="66"/>
      <c r="F43" s="67"/>
      <c r="G43" s="67"/>
      <c r="H43" s="41">
        <f>O43+S43+W43+AA43+AE43+AI43+AM43+AQ43+AU43+AY43</f>
        <v>0</v>
      </c>
      <c r="I43" s="81">
        <f t="shared" ref="I43" si="35">P43+T43+X43+AB43+AF43+AJ43+AN43+AR43+AV43+AZ43</f>
        <v>0</v>
      </c>
      <c r="J43" s="82">
        <f t="shared" ref="J43" si="36">Q43+U43+Y43+AC43+AG43+AK43+AO43+AS43+AW43+BA43</f>
        <v>0</v>
      </c>
      <c r="K43" s="44">
        <f t="shared" ref="K43" si="37">F43+H43</f>
        <v>0</v>
      </c>
      <c r="L43" s="45">
        <f>L42+G43-P43-T43-X43-AB43-AF43-AJ43-AN43-AR43-AV43-AZ43</f>
        <v>0</v>
      </c>
      <c r="M43" s="41">
        <f t="shared" ref="M43" si="38">R43+V43+Z43+AD43+AH43+AL43+AP43+AT43+AX43+BB43</f>
        <v>1506.8455489139769</v>
      </c>
      <c r="N43" s="41">
        <f>K43-M43</f>
        <v>-1506.8455489139769</v>
      </c>
      <c r="O43" s="73"/>
      <c r="P43" s="74"/>
      <c r="Q43" s="83"/>
      <c r="R43" s="84"/>
      <c r="S43" s="85"/>
      <c r="T43" s="83"/>
      <c r="U43" s="83"/>
      <c r="V43" s="84"/>
      <c r="W43" s="85"/>
      <c r="X43" s="83"/>
      <c r="Y43" s="83"/>
      <c r="Z43" s="84"/>
      <c r="AA43" s="73"/>
      <c r="AB43" s="83"/>
      <c r="AC43" s="83"/>
      <c r="AD43" s="84"/>
      <c r="AE43" s="85"/>
      <c r="AF43" s="83"/>
      <c r="AG43" s="83"/>
      <c r="AH43" s="84"/>
      <c r="AI43" s="85"/>
      <c r="AJ43" s="83"/>
      <c r="AK43" s="83"/>
      <c r="AL43" s="84"/>
      <c r="AM43" s="85"/>
      <c r="AN43" s="83"/>
      <c r="AO43" s="83"/>
      <c r="AP43" s="84"/>
      <c r="AQ43" s="85"/>
      <c r="AR43" s="83"/>
      <c r="AS43" s="83"/>
      <c r="AT43" s="84"/>
      <c r="AU43" s="85"/>
      <c r="AV43" s="83"/>
      <c r="AW43" s="83"/>
      <c r="AX43" s="84"/>
      <c r="AY43" s="85"/>
      <c r="AZ43" s="83"/>
      <c r="BA43" s="83"/>
      <c r="BB43" s="49">
        <f>AY41*$E$9</f>
        <v>1506.8455489139769</v>
      </c>
    </row>
    <row r="44" spans="1:54" ht="16.899999999999999" customHeight="1" thickBot="1" x14ac:dyDescent="0.2">
      <c r="A44" s="178"/>
      <c r="B44" s="290" t="s">
        <v>64</v>
      </c>
      <c r="C44" s="291"/>
      <c r="D44" s="172"/>
      <c r="E44" s="66"/>
      <c r="F44" s="67"/>
      <c r="G44" s="67"/>
      <c r="H44" s="41">
        <f>O44+S44+W44+AA44+AE44+AI44+AM44+AQ44+AU44+AY44</f>
        <v>0</v>
      </c>
      <c r="I44" s="81">
        <f t="shared" si="34"/>
        <v>0</v>
      </c>
      <c r="J44" s="82">
        <f t="shared" si="7"/>
        <v>0</v>
      </c>
      <c r="K44" s="44">
        <f t="shared" si="8"/>
        <v>0</v>
      </c>
      <c r="L44" s="45">
        <f>L43+G44-P44-T44-X44-AB44-AF44-AJ44-AN44-AR44-AV44-AZ44</f>
        <v>0</v>
      </c>
      <c r="M44" s="41">
        <f t="shared" si="2"/>
        <v>0</v>
      </c>
      <c r="N44" s="41">
        <f>K44-M44</f>
        <v>0</v>
      </c>
      <c r="O44" s="73"/>
      <c r="P44" s="74"/>
      <c r="Q44" s="83"/>
      <c r="R44" s="84"/>
      <c r="S44" s="85"/>
      <c r="T44" s="83"/>
      <c r="U44" s="83"/>
      <c r="V44" s="84"/>
      <c r="W44" s="85"/>
      <c r="X44" s="83"/>
      <c r="Y44" s="83"/>
      <c r="Z44" s="84"/>
      <c r="AA44" s="73"/>
      <c r="AB44" s="83"/>
      <c r="AC44" s="83"/>
      <c r="AD44" s="84"/>
      <c r="AE44" s="85"/>
      <c r="AF44" s="83"/>
      <c r="AG44" s="83"/>
      <c r="AH44" s="84"/>
      <c r="AI44" s="85"/>
      <c r="AJ44" s="83"/>
      <c r="AK44" s="83"/>
      <c r="AL44" s="84"/>
      <c r="AM44" s="85"/>
      <c r="AN44" s="83"/>
      <c r="AO44" s="83"/>
      <c r="AP44" s="84"/>
      <c r="AQ44" s="85"/>
      <c r="AR44" s="83"/>
      <c r="AS44" s="83"/>
      <c r="AT44" s="84"/>
      <c r="AU44" s="85"/>
      <c r="AV44" s="83"/>
      <c r="AW44" s="83"/>
      <c r="AX44" s="84"/>
      <c r="AY44" s="85"/>
      <c r="AZ44" s="83"/>
      <c r="BA44" s="83"/>
      <c r="BB44" s="49"/>
    </row>
    <row r="45" spans="1:54" ht="16.899999999999999" customHeight="1" thickTop="1" thickBot="1" x14ac:dyDescent="0.2">
      <c r="A45" s="272" t="s">
        <v>49</v>
      </c>
      <c r="B45" s="272"/>
      <c r="C45" s="273"/>
      <c r="D45" s="274"/>
      <c r="E45" s="86">
        <f t="shared" ref="E45:F45" si="39">SUM(E14:E44)</f>
        <v>1000000</v>
      </c>
      <c r="F45" s="87">
        <f t="shared" si="39"/>
        <v>100000</v>
      </c>
      <c r="G45" s="69">
        <f>SUM(G14:G44)</f>
        <v>900000</v>
      </c>
      <c r="H45" s="69">
        <f>SUM(H14:H44)</f>
        <v>1231036.8449191926</v>
      </c>
      <c r="I45" s="69">
        <f>SUM(I14:I44)</f>
        <v>899999.99999999988</v>
      </c>
      <c r="J45" s="70">
        <f>SUM(J14:J44)</f>
        <v>331036.8449191926</v>
      </c>
      <c r="K45" s="88">
        <f>SUM(K14:K44)</f>
        <v>1331036.8449191924</v>
      </c>
      <c r="L45" s="89"/>
      <c r="M45" s="90">
        <f>SUM(M14:M44)</f>
        <v>273563.74331537611</v>
      </c>
      <c r="N45" s="90">
        <f>SUM(N14:N44)</f>
        <v>1057473.1016038165</v>
      </c>
      <c r="O45" s="78">
        <f t="shared" ref="O45:BB45" si="40">SUM(O16:O44)</f>
        <v>117883.68449191921</v>
      </c>
      <c r="P45" s="75">
        <f>SUM(P16:P44)</f>
        <v>89999.999999999985</v>
      </c>
      <c r="Q45" s="75">
        <f t="shared" si="40"/>
        <v>27883.684491919241</v>
      </c>
      <c r="R45" s="76">
        <f t="shared" si="40"/>
        <v>26776.37433153762</v>
      </c>
      <c r="S45" s="77">
        <f t="shared" si="40"/>
        <v>120493.68449191921</v>
      </c>
      <c r="T45" s="75">
        <f t="shared" si="40"/>
        <v>89999.999999999985</v>
      </c>
      <c r="U45" s="75">
        <f t="shared" si="40"/>
        <v>30493.684491919241</v>
      </c>
      <c r="V45" s="76">
        <f t="shared" si="40"/>
        <v>27356.37433153762</v>
      </c>
      <c r="W45" s="77">
        <f t="shared" si="40"/>
        <v>123103.68449191921</v>
      </c>
      <c r="X45" s="75">
        <f t="shared" si="40"/>
        <v>89999.999999999985</v>
      </c>
      <c r="Y45" s="75">
        <f t="shared" si="40"/>
        <v>33103.684491919244</v>
      </c>
      <c r="Z45" s="76">
        <f t="shared" si="40"/>
        <v>27356.37433153762</v>
      </c>
      <c r="AA45" s="78">
        <f t="shared" si="40"/>
        <v>123103.68449191921</v>
      </c>
      <c r="AB45" s="75">
        <f t="shared" si="40"/>
        <v>89999.999999999985</v>
      </c>
      <c r="AC45" s="75">
        <f t="shared" si="40"/>
        <v>33103.684491919244</v>
      </c>
      <c r="AD45" s="76">
        <f t="shared" si="40"/>
        <v>27356.37433153762</v>
      </c>
      <c r="AE45" s="77">
        <f t="shared" si="40"/>
        <v>123103.68449191921</v>
      </c>
      <c r="AF45" s="75">
        <f t="shared" si="40"/>
        <v>89999.999999999985</v>
      </c>
      <c r="AG45" s="75">
        <f t="shared" si="40"/>
        <v>33103.684491919244</v>
      </c>
      <c r="AH45" s="76">
        <f t="shared" si="40"/>
        <v>27356.37433153762</v>
      </c>
      <c r="AI45" s="77">
        <f t="shared" si="40"/>
        <v>123103.68449191921</v>
      </c>
      <c r="AJ45" s="75">
        <f t="shared" si="40"/>
        <v>89999.999999999985</v>
      </c>
      <c r="AK45" s="75">
        <f t="shared" si="40"/>
        <v>33103.684491919244</v>
      </c>
      <c r="AL45" s="76">
        <f t="shared" si="40"/>
        <v>27356.37433153762</v>
      </c>
      <c r="AM45" s="77">
        <f t="shared" si="40"/>
        <v>123103.68449191921</v>
      </c>
      <c r="AN45" s="75">
        <f t="shared" si="40"/>
        <v>89999.999999999985</v>
      </c>
      <c r="AO45" s="75">
        <f t="shared" si="40"/>
        <v>33103.684491919244</v>
      </c>
      <c r="AP45" s="76">
        <f t="shared" si="40"/>
        <v>27356.37433153762</v>
      </c>
      <c r="AQ45" s="77">
        <f t="shared" si="40"/>
        <v>123103.68449191921</v>
      </c>
      <c r="AR45" s="75">
        <f t="shared" si="40"/>
        <v>89999.999999999985</v>
      </c>
      <c r="AS45" s="75">
        <f t="shared" si="40"/>
        <v>33103.684491919244</v>
      </c>
      <c r="AT45" s="76">
        <f t="shared" si="40"/>
        <v>27356.37433153762</v>
      </c>
      <c r="AU45" s="77">
        <f t="shared" si="40"/>
        <v>123103.68449191921</v>
      </c>
      <c r="AV45" s="75">
        <f t="shared" si="40"/>
        <v>89999.999999999985</v>
      </c>
      <c r="AW45" s="75">
        <f t="shared" si="40"/>
        <v>33103.684491919244</v>
      </c>
      <c r="AX45" s="76">
        <f t="shared" si="40"/>
        <v>27356.37433153762</v>
      </c>
      <c r="AY45" s="77">
        <f t="shared" si="40"/>
        <v>123103.68449191921</v>
      </c>
      <c r="AZ45" s="75">
        <f t="shared" si="40"/>
        <v>89999.999999999985</v>
      </c>
      <c r="BA45" s="75">
        <f t="shared" si="40"/>
        <v>33103.684491919244</v>
      </c>
      <c r="BB45" s="76">
        <f t="shared" si="40"/>
        <v>27356.37433153762</v>
      </c>
    </row>
    <row r="46" spans="1:54" ht="16.899999999999999" customHeight="1" thickTop="1" x14ac:dyDescent="0.15"/>
  </sheetData>
  <mergeCells count="72">
    <mergeCell ref="B44:C44"/>
    <mergeCell ref="F6:N6"/>
    <mergeCell ref="B6:C8"/>
    <mergeCell ref="B9:D9"/>
    <mergeCell ref="B38:C38"/>
    <mergeCell ref="B39:C39"/>
    <mergeCell ref="B40:C40"/>
    <mergeCell ref="B41:C41"/>
    <mergeCell ref="B42:C42"/>
    <mergeCell ref="B33:C33"/>
    <mergeCell ref="B34:C34"/>
    <mergeCell ref="B35:C35"/>
    <mergeCell ref="B36:C36"/>
    <mergeCell ref="B25:C25"/>
    <mergeCell ref="B26:C26"/>
    <mergeCell ref="B27:C27"/>
    <mergeCell ref="B23:C23"/>
    <mergeCell ref="B24:C24"/>
    <mergeCell ref="B37:C37"/>
    <mergeCell ref="B28:C28"/>
    <mergeCell ref="B29:C29"/>
    <mergeCell ref="B30:C30"/>
    <mergeCell ref="B31:C31"/>
    <mergeCell ref="B32:C32"/>
    <mergeCell ref="AU12:AU13"/>
    <mergeCell ref="B2:N2"/>
    <mergeCell ref="B1:N1"/>
    <mergeCell ref="A24:A44"/>
    <mergeCell ref="A45:D45"/>
    <mergeCell ref="D11:D13"/>
    <mergeCell ref="E12:E13"/>
    <mergeCell ref="A14:A23"/>
    <mergeCell ref="B5:D5"/>
    <mergeCell ref="B4:D4"/>
    <mergeCell ref="A11:C13"/>
    <mergeCell ref="B14:C14"/>
    <mergeCell ref="B15:C15"/>
    <mergeCell ref="B16:C16"/>
    <mergeCell ref="B17:C17"/>
    <mergeCell ref="B18:C18"/>
    <mergeCell ref="BB12:BB13"/>
    <mergeCell ref="M11:M13"/>
    <mergeCell ref="O11:BB11"/>
    <mergeCell ref="N11:N13"/>
    <mergeCell ref="AM12:AM13"/>
    <mergeCell ref="AY12:AY13"/>
    <mergeCell ref="AQ12:AQ13"/>
    <mergeCell ref="AA12:AA13"/>
    <mergeCell ref="AE12:AE13"/>
    <mergeCell ref="AI12:AI13"/>
    <mergeCell ref="S12:S13"/>
    <mergeCell ref="W12:W13"/>
    <mergeCell ref="AP12:AP13"/>
    <mergeCell ref="AT12:AT13"/>
    <mergeCell ref="AX12:AX13"/>
    <mergeCell ref="R12:R13"/>
    <mergeCell ref="B43:C43"/>
    <mergeCell ref="O12:O13"/>
    <mergeCell ref="AH12:AH13"/>
    <mergeCell ref="AL12:AL13"/>
    <mergeCell ref="F7:N8"/>
    <mergeCell ref="E11:K11"/>
    <mergeCell ref="K12:K13"/>
    <mergeCell ref="L11:L13"/>
    <mergeCell ref="H12:H13"/>
    <mergeCell ref="V12:V13"/>
    <mergeCell ref="Z12:Z13"/>
    <mergeCell ref="AD12:AD13"/>
    <mergeCell ref="B19:C19"/>
    <mergeCell ref="B20:C20"/>
    <mergeCell ref="B21:C21"/>
    <mergeCell ref="B22:C22"/>
  </mergeCells>
  <phoneticPr fontId="3"/>
  <pageMargins left="0.25" right="0.25" top="0.75" bottom="0.75" header="0.3" footer="0.3"/>
  <pageSetup paperSize="8" fitToHeight="0" orientation="portrait" cellComments="asDisplaye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0f5565e9-5a66-431c-8661-7fb495b7a65d" xsi:nil="true"/>
    <TaxCatchAll xmlns="85ec59af-1a16-40a0-b163-384e34c79a5c" xsi:nil="true"/>
    <lcf76f155ced4ddcb4097134ff3c332f xmlns="0f5565e9-5a66-431c-8661-7fb495b7a65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5E786FCEC56CF45B0D4DEC9E00A86CB" ma:contentTypeVersion="15" ma:contentTypeDescription="新しいドキュメントを作成します。" ma:contentTypeScope="" ma:versionID="0fc962449c3061a8ba9c3b8c90263320">
  <xsd:schema xmlns:xsd="http://www.w3.org/2001/XMLSchema" xmlns:xs="http://www.w3.org/2001/XMLSchema" xmlns:p="http://schemas.microsoft.com/office/2006/metadata/properties" xmlns:ns2="0f5565e9-5a66-431c-8661-7fb495b7a65d" xmlns:ns3="85ec59af-1a16-40a0-b163-384e34c79a5c" targetNamespace="http://schemas.microsoft.com/office/2006/metadata/properties" ma:root="true" ma:fieldsID="af0a356af1d98808e478c983c31736c3" ns2:_="" ns3:_="">
    <xsd:import namespace="0f5565e9-5a66-431c-8661-7fb495b7a65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5565e9-5a66-431c-8661-7fb495b7a6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6" nillable="true" ma:displayName="Location" ma:descrip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5d5c036-59de-4d94-9051-ed26a78c5a67}"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F5B563-E566-41B0-BF74-FA7401069A81}">
  <ds:schemaRefs>
    <ds:schemaRef ds:uri="http://www.w3.org/XML/1998/namespace"/>
    <ds:schemaRef ds:uri="http://schemas.microsoft.com/office/2006/documentManagement/types"/>
    <ds:schemaRef ds:uri="http://schemas.microsoft.com/office/2006/metadata/properties"/>
    <ds:schemaRef ds:uri="http://purl.org/dc/dcmitype/"/>
    <ds:schemaRef ds:uri="85ec59af-1a16-40a0-b163-384e34c79a5c"/>
    <ds:schemaRef ds:uri="http://schemas.openxmlformats.org/package/2006/metadata/core-properties"/>
    <ds:schemaRef ds:uri="http://purl.org/dc/elements/1.1/"/>
    <ds:schemaRef ds:uri="http://schemas.microsoft.com/office/infopath/2007/PartnerControls"/>
    <ds:schemaRef ds:uri="0f5565e9-5a66-431c-8661-7fb495b7a65d"/>
    <ds:schemaRef ds:uri="http://purl.org/dc/terms/"/>
  </ds:schemaRefs>
</ds:datastoreItem>
</file>

<file path=customXml/itemProps2.xml><?xml version="1.0" encoding="utf-8"?>
<ds:datastoreItem xmlns:ds="http://schemas.openxmlformats.org/officeDocument/2006/customXml" ds:itemID="{148006F0-92B9-4E01-8083-4542A8FFD0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5565e9-5a66-431c-8661-7fb495b7a65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73D820-9F0E-4766-BEF0-B8B32A5954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ケース１規定償還</vt:lpstr>
      <vt:lpstr>ケース２一括償還</vt:lpstr>
      <vt:lpstr>ケース３都道府県直入方式</vt:lpstr>
      <vt:lpstr>ケース１規定償還!Print_Area</vt:lpstr>
      <vt:lpstr>ケース２一括償還!Print_Area</vt:lpstr>
      <vt:lpstr>ケース３都道府県直入方式!Print_Area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2021-03-10T06:59:19Z</dcterms:created>
  <dcterms:modified xsi:type="dcterms:W3CDTF">2026-06-01T02:26:15Z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0x010100C5E786FCEC56CF45B0D4DEC9E00A86CB</vt:lpwstr>
  </property>
  <property fmtid="{D5CDD505-2E9C-101B-9397-08002B2CF9AE}" pid="3" name="MediaServiceImageTags">
    <vt:lpwstr/>
  </property>
</Properties>
</file>